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3511" yWindow="930" windowWidth="17415" windowHeight="996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<sst xmlns="http://schemas.openxmlformats.org/spreadsheetml/2006/main" count="166" uniqueCount="113">
  <si>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</si>
  <si>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</si>
  <si>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</si>
  <si>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</si>
  <si>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</si>
  <si>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</si>
  <si>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</si>
  <si>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</si>
  <si>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</si>
  <si>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</si>
  <si>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</si>
  <si>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</si>
  <si>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</si>
  <si>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</si>
  <si>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</si>
  <si>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</si>
  <si>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</si>
  <si>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</si>
  <si>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</si>
  <si>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Охорона здоров'я</t>
  </si>
  <si>
    <t>Видатки не віднесені до основних груп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</si>
  <si>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</si>
  <si>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</si>
  <si>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</si>
  <si>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</si>
  <si>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</si>
  <si>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</si>
  <si>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</si>
  <si>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</si>
  <si>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</si>
  <si>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</si>
  <si>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</si>
  <si>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</si>
  <si>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</si>
  <si>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</si>
  <si>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</si>
  <si>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</si>
  <si>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</si>
  <si>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</si>
  <si>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</si>
  <si>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Назва галузі</t>
  </si>
  <si>
    <t>Субвенція районним, обласному та іншим бюджетам</t>
  </si>
  <si>
    <t>інші бюджети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</si>
  <si>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</si>
  <si>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</si>
  <si>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</si>
  <si>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</si>
  <si>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</si>
  <si>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</si>
  <si>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</si>
  <si>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</si>
  <si>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</si>
  <si>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</si>
  <si>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на фінансування амбулаторного лікування хворих нефрологічного профілю</t>
  </si>
  <si>
    <t>Програма підвищення енергоефективності та зменшення споживання енергоресурсів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</si>
  <si>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</si>
  <si>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</si>
  <si>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</si>
  <si>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</si>
  <si>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</si>
  <si>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</si>
  <si>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</si>
  <si>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</si>
  <si>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</si>
  <si>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</si>
  <si>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</si>
  <si>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</si>
  <si>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</si>
  <si>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</si>
  <si>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</si>
  <si>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</si>
  <si>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</si>
  <si>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</si>
  <si>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</si>
  <si>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</si>
  <si>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</si>
  <si>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</si>
  <si>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</si>
  <si>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</si>
  <si>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</si>
  <si>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</si>
  <si>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</si>
  <si>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</si>
  <si>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</si>
  <si>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</si>
  <si>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</si>
  <si>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Природоохоронні заходи (200600, 200700)</t>
  </si>
  <si>
    <t>Програма підтримки об'єднань співвласників баготоквартирних будинків ОСББ</t>
  </si>
  <si>
    <t>в т.ч. трансферти населенню</t>
  </si>
  <si>
    <t>Громадський бюджет</t>
  </si>
  <si>
    <t>Підвищення кваліфікації кадрів</t>
  </si>
  <si>
    <t>Програма розвитку земельних відносин</t>
  </si>
  <si>
    <t>Субвенція обласному бюджету (250380)</t>
  </si>
  <si>
    <t>Програма забезпечення правопорядку в м. Черкаси</t>
  </si>
  <si>
    <t>Заходи запобігання і ліквідації НС</t>
  </si>
  <si>
    <t>Міськ.прогр.підтримки громадського транспорту</t>
  </si>
  <si>
    <t>Рятування на водах</t>
  </si>
  <si>
    <t>Дорожній фонд</t>
  </si>
  <si>
    <t>Обслуговування боргу</t>
  </si>
  <si>
    <t>Реверсна дотація</t>
  </si>
  <si>
    <t>Програма впорядкування тимчасових споруд і зовнішньої реклами</t>
  </si>
  <si>
    <t>Програма забезпечення виконання рішень суду</t>
  </si>
  <si>
    <t>Програма розроблення містобудівної документації</t>
  </si>
  <si>
    <t>Програма розроблнння стратегічного плану розвитку м. Черкаси</t>
  </si>
  <si>
    <t>Реалізація програми допомоги і грантів міжнар.фін.орган.</t>
  </si>
  <si>
    <t>Програма сприяння залученню інвестицій</t>
  </si>
  <si>
    <t>План на рік, тис.грн.</t>
  </si>
  <si>
    <t>Відсоток виконання  плану на рік</t>
  </si>
  <si>
    <t>Відхилення від плану на рік тис.грн.</t>
  </si>
  <si>
    <t>План на 10 місяців, тис.грн.</t>
  </si>
  <si>
    <t>Відсоток виконання  плану 10 місяців</t>
  </si>
  <si>
    <t>Відхилення від  плану 10 місяців, тис.грн.</t>
  </si>
  <si>
    <t>Аналіз використання коштів загального фонду міського бюджету станом на 11.10.2018 року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</si>
</sst>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80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b/>
      <sz val="14"/>
      <color indexed="9"/>
      <name val="Arial Cyr"/>
      <family val="0"/>
    </font>
    <font>
      <b/>
      <i/>
      <sz val="14"/>
      <color indexed="8"/>
      <name val="Arial Cyr"/>
      <family val="0"/>
    </font>
    <font>
      <b/>
      <sz val="14"/>
      <color indexed="8"/>
      <name val="Arial Cyr"/>
      <family val="0"/>
    </font>
    <font>
      <sz val="10"/>
      <color indexed="13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0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5" fillId="25" borderId="1" applyNumberFormat="0" applyAlignment="0" applyProtection="0"/>
    <xf numFmtId="0" fontId="66" fillId="26" borderId="2" applyNumberFormat="0" applyAlignment="0" applyProtection="0"/>
    <xf numFmtId="0" fontId="67" fillId="26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27" borderId="7" applyNumberFormat="0" applyAlignment="0" applyProtection="0"/>
    <xf numFmtId="0" fontId="73" fillId="0" borderId="0" applyNumberFormat="0" applyFill="0" applyBorder="0" applyAlignment="0" applyProtection="0"/>
    <xf numFmtId="0" fontId="74" fillId="28" borderId="0" applyNumberFormat="0" applyBorder="0" applyAlignment="0" applyProtection="0"/>
    <xf numFmtId="0" fontId="2" fillId="0" borderId="0">
      <alignment/>
      <protection/>
    </xf>
    <xf numFmtId="0" fontId="39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9" fillId="31" borderId="0" applyNumberFormat="0" applyBorder="0" applyAlignment="0" applyProtection="0"/>
  </cellStyleXfs>
  <cellXfs count="188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32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5" fillId="32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189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32" borderId="11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32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32" borderId="15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32" borderId="11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wrapText="1"/>
    </xf>
    <xf numFmtId="2" fontId="4" fillId="32" borderId="11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189" fontId="0" fillId="0" borderId="0" xfId="0" applyNumberFormat="1" applyFont="1" applyFill="1" applyBorder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32" borderId="13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/>
    </xf>
    <xf numFmtId="190" fontId="4" fillId="32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32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5" xfId="0" applyNumberFormat="1" applyFont="1" applyFill="1" applyBorder="1" applyAlignment="1">
      <alignment wrapText="1"/>
    </xf>
    <xf numFmtId="190" fontId="4" fillId="0" borderId="15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32" borderId="15" xfId="0" applyNumberFormat="1" applyFont="1" applyFill="1" applyBorder="1" applyAlignment="1">
      <alignment wrapText="1"/>
    </xf>
    <xf numFmtId="190" fontId="4" fillId="32" borderId="15" xfId="0" applyNumberFormat="1" applyFont="1" applyFill="1" applyBorder="1" applyAlignment="1">
      <alignment/>
    </xf>
    <xf numFmtId="190" fontId="4" fillId="32" borderId="14" xfId="0" applyNumberFormat="1" applyFont="1" applyFill="1" applyBorder="1" applyAlignment="1">
      <alignment/>
    </xf>
    <xf numFmtId="190" fontId="4" fillId="0" borderId="17" xfId="0" applyNumberFormat="1" applyFont="1" applyFill="1" applyBorder="1" applyAlignment="1">
      <alignment/>
    </xf>
    <xf numFmtId="190" fontId="5" fillId="0" borderId="16" xfId="0" applyNumberFormat="1" applyFont="1" applyFill="1" applyBorder="1" applyAlignment="1">
      <alignment/>
    </xf>
    <xf numFmtId="190" fontId="4" fillId="0" borderId="18" xfId="0" applyNumberFormat="1" applyFont="1" applyFill="1" applyBorder="1" applyAlignment="1">
      <alignment/>
    </xf>
    <xf numFmtId="190" fontId="5" fillId="32" borderId="11" xfId="0" applyNumberFormat="1" applyFont="1" applyFill="1" applyBorder="1" applyAlignment="1">
      <alignment/>
    </xf>
    <xf numFmtId="0" fontId="5" fillId="32" borderId="16" xfId="0" applyFont="1" applyFill="1" applyBorder="1" applyAlignment="1">
      <alignment wrapText="1"/>
    </xf>
    <xf numFmtId="190" fontId="4" fillId="32" borderId="16" xfId="0" applyNumberFormat="1" applyFont="1" applyFill="1" applyBorder="1" applyAlignment="1">
      <alignment/>
    </xf>
    <xf numFmtId="189" fontId="4" fillId="32" borderId="16" xfId="0" applyNumberFormat="1" applyFont="1" applyFill="1" applyBorder="1" applyAlignment="1">
      <alignment/>
    </xf>
    <xf numFmtId="188" fontId="0" fillId="0" borderId="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2" fillId="0" borderId="12" xfId="0" applyNumberFormat="1" applyFont="1" applyFill="1" applyBorder="1" applyAlignment="1">
      <alignment/>
    </xf>
    <xf numFmtId="189" fontId="12" fillId="0" borderId="10" xfId="0" applyNumberFormat="1" applyFont="1" applyFill="1" applyBorder="1" applyAlignment="1">
      <alignment/>
    </xf>
    <xf numFmtId="0" fontId="12" fillId="0" borderId="12" xfId="0" applyFont="1" applyFill="1" applyBorder="1" applyAlignment="1">
      <alignment horizontal="left" wrapText="1" indent="4"/>
    </xf>
    <xf numFmtId="190" fontId="12" fillId="0" borderId="12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 vertical="center" wrapText="1"/>
    </xf>
    <xf numFmtId="0" fontId="0" fillId="0" borderId="0" xfId="53" applyFont="1" applyBorder="1" applyAlignment="1" applyProtection="1">
      <alignment vertical="center" wrapText="1"/>
      <protection/>
    </xf>
    <xf numFmtId="190" fontId="0" fillId="0" borderId="0" xfId="53" applyNumberFormat="1" applyFont="1" applyBorder="1" applyAlignment="1" applyProtection="1">
      <alignment vertical="center" wrapText="1"/>
      <protection/>
    </xf>
    <xf numFmtId="190" fontId="12" fillId="0" borderId="10" xfId="0" applyNumberFormat="1" applyFont="1" applyFill="1" applyBorder="1" applyAlignment="1">
      <alignment/>
    </xf>
    <xf numFmtId="189" fontId="4" fillId="32" borderId="14" xfId="0" applyNumberFormat="1" applyFont="1" applyFill="1" applyBorder="1" applyAlignment="1">
      <alignment/>
    </xf>
    <xf numFmtId="189" fontId="4" fillId="32" borderId="19" xfId="0" applyNumberFormat="1" applyFont="1" applyFill="1" applyBorder="1" applyAlignment="1">
      <alignment/>
    </xf>
    <xf numFmtId="0" fontId="5" fillId="32" borderId="20" xfId="0" applyFont="1" applyFill="1" applyBorder="1" applyAlignment="1">
      <alignment wrapText="1"/>
    </xf>
    <xf numFmtId="189" fontId="4" fillId="32" borderId="15" xfId="0" applyNumberFormat="1" applyFont="1" applyFill="1" applyBorder="1" applyAlignment="1">
      <alignment/>
    </xf>
    <xf numFmtId="190" fontId="4" fillId="32" borderId="21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 horizontal="right"/>
    </xf>
    <xf numFmtId="190" fontId="0" fillId="0" borderId="10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horizontal="right" wrapText="1"/>
    </xf>
    <xf numFmtId="190" fontId="5" fillId="32" borderId="20" xfId="0" applyNumberFormat="1" applyFont="1" applyFill="1" applyBorder="1" applyAlignment="1">
      <alignment horizontal="right" wrapText="1"/>
    </xf>
    <xf numFmtId="190" fontId="0" fillId="0" borderId="0" xfId="0" applyNumberFormat="1" applyFont="1" applyFill="1" applyAlignment="1">
      <alignment wrapText="1"/>
    </xf>
    <xf numFmtId="0" fontId="0" fillId="33" borderId="0" xfId="0" applyFont="1" applyFill="1" applyAlignment="1">
      <alignment/>
    </xf>
    <xf numFmtId="0" fontId="11" fillId="33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190" fontId="5" fillId="0" borderId="0" xfId="0" applyNumberFormat="1" applyFont="1" applyFill="1" applyAlignment="1">
      <alignment/>
    </xf>
    <xf numFmtId="0" fontId="5" fillId="33" borderId="14" xfId="0" applyFont="1" applyFill="1" applyBorder="1" applyAlignment="1">
      <alignment wrapText="1"/>
    </xf>
    <xf numFmtId="190" fontId="4" fillId="33" borderId="17" xfId="0" applyNumberFormat="1" applyFont="1" applyFill="1" applyBorder="1" applyAlignment="1">
      <alignment/>
    </xf>
    <xf numFmtId="189" fontId="4" fillId="33" borderId="10" xfId="0" applyNumberFormat="1" applyFont="1" applyFill="1" applyBorder="1" applyAlignment="1">
      <alignment/>
    </xf>
    <xf numFmtId="190" fontId="4" fillId="33" borderId="10" xfId="0" applyNumberFormat="1" applyFont="1" applyFill="1" applyBorder="1" applyAlignment="1">
      <alignment/>
    </xf>
    <xf numFmtId="190" fontId="5" fillId="33" borderId="0" xfId="0" applyNumberFormat="1" applyFont="1" applyFill="1" applyAlignment="1">
      <alignment/>
    </xf>
    <xf numFmtId="0" fontId="3" fillId="33" borderId="12" xfId="0" applyFont="1" applyFill="1" applyBorder="1" applyAlignment="1">
      <alignment wrapText="1"/>
    </xf>
    <xf numFmtId="190" fontId="3" fillId="33" borderId="10" xfId="0" applyNumberFormat="1" applyFont="1" applyFill="1" applyBorder="1" applyAlignment="1">
      <alignment wrapText="1"/>
    </xf>
    <xf numFmtId="190" fontId="3" fillId="33" borderId="10" xfId="0" applyNumberFormat="1" applyFont="1" applyFill="1" applyBorder="1" applyAlignment="1">
      <alignment/>
    </xf>
    <xf numFmtId="190" fontId="3" fillId="33" borderId="17" xfId="0" applyNumberFormat="1" applyFont="1" applyFill="1" applyBorder="1" applyAlignment="1">
      <alignment/>
    </xf>
    <xf numFmtId="189" fontId="3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 wrapText="1"/>
    </xf>
    <xf numFmtId="190" fontId="5" fillId="33" borderId="10" xfId="0" applyNumberFormat="1" applyFont="1" applyFill="1" applyBorder="1" applyAlignment="1">
      <alignment/>
    </xf>
    <xf numFmtId="190" fontId="5" fillId="33" borderId="17" xfId="0" applyNumberFormat="1" applyFont="1" applyFill="1" applyBorder="1" applyAlignment="1">
      <alignment/>
    </xf>
    <xf numFmtId="189" fontId="34" fillId="33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 wrapText="1"/>
    </xf>
    <xf numFmtId="189" fontId="5" fillId="33" borderId="10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0" fontId="3" fillId="33" borderId="0" xfId="0" applyFont="1" applyFill="1" applyAlignment="1">
      <alignment/>
    </xf>
    <xf numFmtId="189" fontId="33" fillId="33" borderId="10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0" fontId="5" fillId="33" borderId="12" xfId="0" applyFont="1" applyFill="1" applyBorder="1" applyAlignment="1">
      <alignment wrapText="1"/>
    </xf>
    <xf numFmtId="190" fontId="3" fillId="33" borderId="14" xfId="0" applyNumberFormat="1" applyFont="1" applyFill="1" applyBorder="1" applyAlignment="1">
      <alignment wrapText="1"/>
    </xf>
    <xf numFmtId="190" fontId="3" fillId="33" borderId="14" xfId="0" applyNumberFormat="1" applyFont="1" applyFill="1" applyBorder="1" applyAlignment="1">
      <alignment/>
    </xf>
    <xf numFmtId="189" fontId="3" fillId="33" borderId="14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left" wrapText="1"/>
    </xf>
    <xf numFmtId="0" fontId="3" fillId="33" borderId="16" xfId="0" applyFont="1" applyFill="1" applyBorder="1" applyAlignment="1">
      <alignment wrapText="1"/>
    </xf>
    <xf numFmtId="190" fontId="3" fillId="33" borderId="16" xfId="0" applyNumberFormat="1" applyFont="1" applyFill="1" applyBorder="1" applyAlignment="1">
      <alignment wrapText="1"/>
    </xf>
    <xf numFmtId="189" fontId="3" fillId="33" borderId="16" xfId="0" applyNumberFormat="1" applyFont="1" applyFill="1" applyBorder="1" applyAlignment="1">
      <alignment/>
    </xf>
    <xf numFmtId="190" fontId="3" fillId="33" borderId="16" xfId="0" applyNumberFormat="1" applyFont="1" applyFill="1" applyBorder="1" applyAlignment="1">
      <alignment/>
    </xf>
    <xf numFmtId="190" fontId="3" fillId="33" borderId="12" xfId="0" applyNumberFormat="1" applyFont="1" applyFill="1" applyBorder="1" applyAlignment="1">
      <alignment wrapText="1"/>
    </xf>
    <xf numFmtId="190" fontId="3" fillId="33" borderId="12" xfId="0" applyNumberFormat="1" applyFont="1" applyFill="1" applyBorder="1" applyAlignment="1">
      <alignment/>
    </xf>
    <xf numFmtId="2" fontId="3" fillId="33" borderId="10" xfId="0" applyNumberFormat="1" applyFont="1" applyFill="1" applyBorder="1" applyAlignment="1">
      <alignment/>
    </xf>
    <xf numFmtId="0" fontId="3" fillId="33" borderId="22" xfId="0" applyFont="1" applyFill="1" applyBorder="1" applyAlignment="1">
      <alignment wrapText="1"/>
    </xf>
    <xf numFmtId="190" fontId="3" fillId="33" borderId="22" xfId="0" applyNumberFormat="1" applyFont="1" applyFill="1" applyBorder="1" applyAlignment="1">
      <alignment wrapText="1"/>
    </xf>
    <xf numFmtId="190" fontId="3" fillId="33" borderId="23" xfId="0" applyNumberFormat="1" applyFont="1" applyFill="1" applyBorder="1" applyAlignment="1">
      <alignment horizontal="right"/>
    </xf>
    <xf numFmtId="190" fontId="3" fillId="33" borderId="24" xfId="0" applyNumberFormat="1" applyFont="1" applyFill="1" applyBorder="1" applyAlignment="1">
      <alignment/>
    </xf>
    <xf numFmtId="189" fontId="3" fillId="33" borderId="22" xfId="0" applyNumberFormat="1" applyFont="1" applyFill="1" applyBorder="1" applyAlignment="1">
      <alignment/>
    </xf>
    <xf numFmtId="189" fontId="3" fillId="33" borderId="25" xfId="0" applyNumberFormat="1" applyFont="1" applyFill="1" applyBorder="1" applyAlignment="1">
      <alignment/>
    </xf>
    <xf numFmtId="189" fontId="3" fillId="33" borderId="23" xfId="0" applyNumberFormat="1" applyFont="1" applyFill="1" applyBorder="1" applyAlignment="1">
      <alignment/>
    </xf>
    <xf numFmtId="190" fontId="3" fillId="33" borderId="26" xfId="0" applyNumberFormat="1" applyFont="1" applyFill="1" applyBorder="1" applyAlignment="1">
      <alignment/>
    </xf>
    <xf numFmtId="190" fontId="5" fillId="33" borderId="12" xfId="0" applyNumberFormat="1" applyFont="1" applyFill="1" applyBorder="1" applyAlignment="1">
      <alignment wrapText="1"/>
    </xf>
    <xf numFmtId="190" fontId="5" fillId="33" borderId="12" xfId="0" applyNumberFormat="1" applyFont="1" applyFill="1" applyBorder="1" applyAlignment="1">
      <alignment/>
    </xf>
    <xf numFmtId="190" fontId="11" fillId="33" borderId="0" xfId="0" applyNumberFormat="1" applyFont="1" applyFill="1" applyAlignment="1">
      <alignment/>
    </xf>
    <xf numFmtId="0" fontId="12" fillId="33" borderId="12" xfId="0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/>
    </xf>
    <xf numFmtId="190" fontId="12" fillId="33" borderId="10" xfId="0" applyNumberFormat="1" applyFont="1" applyFill="1" applyBorder="1" applyAlignment="1">
      <alignment/>
    </xf>
    <xf numFmtId="189" fontId="12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 horizontal="right"/>
    </xf>
    <xf numFmtId="0" fontId="35" fillId="33" borderId="10" xfId="0" applyFont="1" applyFill="1" applyBorder="1" applyAlignment="1">
      <alignment wrapText="1"/>
    </xf>
    <xf numFmtId="190" fontId="35" fillId="33" borderId="10" xfId="0" applyNumberFormat="1" applyFont="1" applyFill="1" applyBorder="1" applyAlignment="1">
      <alignment/>
    </xf>
    <xf numFmtId="190" fontId="35" fillId="33" borderId="17" xfId="0" applyNumberFormat="1" applyFont="1" applyFill="1" applyBorder="1" applyAlignment="1">
      <alignment/>
    </xf>
    <xf numFmtId="189" fontId="35" fillId="33" borderId="10" xfId="0" applyNumberFormat="1" applyFont="1" applyFill="1" applyBorder="1" applyAlignment="1">
      <alignment/>
    </xf>
    <xf numFmtId="189" fontId="36" fillId="33" borderId="10" xfId="0" applyNumberFormat="1" applyFont="1" applyFill="1" applyBorder="1" applyAlignment="1">
      <alignment/>
    </xf>
    <xf numFmtId="190" fontId="36" fillId="33" borderId="10" xfId="0" applyNumberFormat="1" applyFont="1" applyFill="1" applyBorder="1" applyAlignment="1">
      <alignment/>
    </xf>
    <xf numFmtId="190" fontId="0" fillId="0" borderId="0" xfId="0" applyNumberFormat="1" applyFont="1" applyFill="1" applyAlignment="1">
      <alignment/>
    </xf>
    <xf numFmtId="190" fontId="3" fillId="33" borderId="0" xfId="0" applyNumberFormat="1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190" fontId="4" fillId="33" borderId="14" xfId="0" applyNumberFormat="1" applyFont="1" applyFill="1" applyBorder="1" applyAlignment="1">
      <alignment/>
    </xf>
    <xf numFmtId="190" fontId="3" fillId="34" borderId="10" xfId="0" applyNumberFormat="1" applyFont="1" applyFill="1" applyBorder="1" applyAlignment="1">
      <alignment wrapText="1"/>
    </xf>
    <xf numFmtId="190" fontId="5" fillId="34" borderId="10" xfId="0" applyNumberFormat="1" applyFont="1" applyFill="1" applyBorder="1" applyAlignment="1">
      <alignment wrapText="1"/>
    </xf>
    <xf numFmtId="190" fontId="5" fillId="33" borderId="14" xfId="0" applyNumberFormat="1" applyFont="1" applyFill="1" applyBorder="1" applyAlignment="1">
      <alignment wrapText="1"/>
    </xf>
    <xf numFmtId="190" fontId="5" fillId="33" borderId="10" xfId="0" applyNumberFormat="1" applyFont="1" applyFill="1" applyBorder="1" applyAlignment="1">
      <alignment wrapText="1"/>
    </xf>
    <xf numFmtId="190" fontId="5" fillId="33" borderId="16" xfId="0" applyNumberFormat="1" applyFont="1" applyFill="1" applyBorder="1" applyAlignment="1">
      <alignment/>
    </xf>
    <xf numFmtId="190" fontId="35" fillId="33" borderId="10" xfId="0" applyNumberFormat="1" applyFont="1" applyFill="1" applyBorder="1" applyAlignment="1">
      <alignment wrapText="1"/>
    </xf>
    <xf numFmtId="0" fontId="5" fillId="35" borderId="0" xfId="0" applyFont="1" applyFill="1" applyAlignment="1">
      <alignment/>
    </xf>
    <xf numFmtId="0" fontId="3" fillId="35" borderId="0" xfId="0" applyFont="1" applyFill="1" applyAlignment="1">
      <alignment/>
    </xf>
    <xf numFmtId="0" fontId="0" fillId="35" borderId="0" xfId="0" applyFont="1" applyFill="1" applyAlignment="1">
      <alignment/>
    </xf>
    <xf numFmtId="0" fontId="9" fillId="35" borderId="0" xfId="0" applyFont="1" applyFill="1" applyAlignment="1">
      <alignment/>
    </xf>
    <xf numFmtId="0" fontId="11" fillId="35" borderId="0" xfId="0" applyFont="1" applyFill="1" applyAlignment="1">
      <alignment/>
    </xf>
    <xf numFmtId="0" fontId="37" fillId="35" borderId="0" xfId="0" applyFont="1" applyFill="1" applyAlignment="1">
      <alignment/>
    </xf>
    <xf numFmtId="0" fontId="7" fillId="35" borderId="0" xfId="0" applyFont="1" applyFill="1" applyAlignment="1">
      <alignment/>
    </xf>
    <xf numFmtId="190" fontId="3" fillId="35" borderId="10" xfId="0" applyNumberFormat="1" applyFont="1" applyFill="1" applyBorder="1" applyAlignment="1">
      <alignment wrapText="1"/>
    </xf>
    <xf numFmtId="190" fontId="3" fillId="35" borderId="1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190" fontId="0" fillId="35" borderId="0" xfId="0" applyNumberFormat="1" applyFont="1" applyFill="1" applyAlignment="1">
      <alignment/>
    </xf>
    <xf numFmtId="190" fontId="5" fillId="35" borderId="0" xfId="0" applyNumberFormat="1" applyFont="1" applyFill="1" applyAlignment="1">
      <alignment/>
    </xf>
    <xf numFmtId="0" fontId="5" fillId="35" borderId="0" xfId="0" applyFont="1" applyFill="1" applyBorder="1" applyAlignment="1">
      <alignment/>
    </xf>
    <xf numFmtId="190" fontId="9" fillId="35" borderId="0" xfId="0" applyNumberFormat="1" applyFont="1" applyFill="1" applyAlignment="1">
      <alignment/>
    </xf>
    <xf numFmtId="189" fontId="0" fillId="35" borderId="0" xfId="0" applyNumberFormat="1" applyFont="1" applyFill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ZV1PIV98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3">
    <dxf>
      <font>
        <color indexed="10"/>
      </font>
    </dxf>
    <dxf>
      <fill>
        <patternFill patternType="solid">
          <bgColor indexed="9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09775"/>
          <c:w val="0.853"/>
          <c:h val="0.654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фінансування'!$C$90:$C$94</c:f>
              <c:numCache>
                <c:ptCount val="4"/>
                <c:pt idx="0">
                  <c:v>204055.2</c:v>
                </c:pt>
                <c:pt idx="1">
                  <c:v>189953.3</c:v>
                </c:pt>
                <c:pt idx="2">
                  <c:v>2776.4</c:v>
                </c:pt>
                <c:pt idx="3">
                  <c:v>11325.500000000024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фінансування'!$D$90:$D$94</c:f>
              <c:numCache>
                <c:ptCount val="4"/>
                <c:pt idx="0">
                  <c:v>158562.69999999995</c:v>
                </c:pt>
                <c:pt idx="1">
                  <c:v>149894.91000000003</c:v>
                </c:pt>
                <c:pt idx="2">
                  <c:v>1658.5000000000002</c:v>
                </c:pt>
                <c:pt idx="3">
                  <c:v>7009.289999999921</c:v>
                </c:pt>
              </c:numCache>
            </c:numRef>
          </c:val>
          <c:shape val="box"/>
        </c:ser>
        <c:shape val="box"/>
        <c:axId val="1768899"/>
        <c:axId val="15920092"/>
      </c:bar3DChart>
      <c:catAx>
        <c:axId val="17688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5920092"/>
        <c:crosses val="autoZero"/>
        <c:auto val="1"/>
        <c:lblOffset val="100"/>
        <c:tickLblSkip val="1"/>
        <c:noMultiLvlLbl val="0"/>
      </c:catAx>
      <c:valAx>
        <c:axId val="159200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6889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05"/>
          <c:y val="0.92525"/>
          <c:w val="0.28725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09275"/>
          <c:w val="0.8435"/>
          <c:h val="0.713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827119.6</c:v>
                </c:pt>
                <c:pt idx="1">
                  <c:v>262517.6</c:v>
                </c:pt>
                <c:pt idx="2">
                  <c:v>656514.4</c:v>
                </c:pt>
                <c:pt idx="3">
                  <c:v>97.7</c:v>
                </c:pt>
                <c:pt idx="4">
                  <c:v>40446.8</c:v>
                </c:pt>
                <c:pt idx="5">
                  <c:v>88172.4</c:v>
                </c:pt>
                <c:pt idx="6">
                  <c:v>12738</c:v>
                </c:pt>
                <c:pt idx="7">
                  <c:v>29150.299999999945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604978.1000000001</c:v>
                </c:pt>
                <c:pt idx="1">
                  <c:v>210386.39999999997</c:v>
                </c:pt>
                <c:pt idx="2">
                  <c:v>502993.2000000002</c:v>
                </c:pt>
                <c:pt idx="3">
                  <c:v>28.3</c:v>
                </c:pt>
                <c:pt idx="4">
                  <c:v>24475.3</c:v>
                </c:pt>
                <c:pt idx="5">
                  <c:v>54065.399999999994</c:v>
                </c:pt>
                <c:pt idx="6">
                  <c:v>8869.499999999998</c:v>
                </c:pt>
                <c:pt idx="7">
                  <c:v>14546.399999999909</c:v>
                </c:pt>
              </c:numCache>
            </c:numRef>
          </c:val>
          <c:shape val="box"/>
        </c:ser>
        <c:shape val="box"/>
        <c:axId val="9063101"/>
        <c:axId val="14459046"/>
      </c:bar3DChart>
      <c:catAx>
        <c:axId val="90631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4459046"/>
        <c:crosses val="autoZero"/>
        <c:auto val="1"/>
        <c:lblOffset val="100"/>
        <c:tickLblSkip val="1"/>
        <c:noMultiLvlLbl val="0"/>
      </c:catAx>
      <c:valAx>
        <c:axId val="1445904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06310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85"/>
          <c:y val="0.92125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3075"/>
          <c:w val="0.9295"/>
          <c:h val="0.671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3"/>
                <c:pt idx="0">
                  <c:v>406096.89999999997</c:v>
                </c:pt>
                <c:pt idx="1">
                  <c:v>227711.8</c:v>
                </c:pt>
                <c:pt idx="2">
                  <c:v>406096.89999999997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3"/>
                <c:pt idx="0">
                  <c:v>296152.9000000001</c:v>
                </c:pt>
                <c:pt idx="1">
                  <c:v>187619.6</c:v>
                </c:pt>
                <c:pt idx="2">
                  <c:v>296152.9000000001</c:v>
                </c:pt>
              </c:numCache>
            </c:numRef>
          </c:val>
          <c:shape val="box"/>
        </c:ser>
        <c:shape val="box"/>
        <c:axId val="63022551"/>
        <c:axId val="30332048"/>
      </c:bar3DChart>
      <c:catAx>
        <c:axId val="630225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0332048"/>
        <c:crosses val="autoZero"/>
        <c:auto val="1"/>
        <c:lblOffset val="100"/>
        <c:tickLblSkip val="1"/>
        <c:noMultiLvlLbl val="0"/>
      </c:catAx>
      <c:valAx>
        <c:axId val="303320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02255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425"/>
          <c:y val="0.916"/>
          <c:w val="0.2697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3525"/>
          <c:w val="0.87025"/>
          <c:h val="0.600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7"/>
                <c:pt idx="0">
                  <c:v>Культура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Святкування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7"/>
                <c:pt idx="0">
                  <c:v>24869.499999999996</c:v>
                </c:pt>
                <c:pt idx="1">
                  <c:v>12946.6</c:v>
                </c:pt>
                <c:pt idx="2">
                  <c:v>81.1</c:v>
                </c:pt>
                <c:pt idx="3">
                  <c:v>1783</c:v>
                </c:pt>
                <c:pt idx="4">
                  <c:v>1008</c:v>
                </c:pt>
                <c:pt idx="5">
                  <c:v>89.5</c:v>
                </c:pt>
                <c:pt idx="6">
                  <c:v>8961.299999999996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7"/>
                <c:pt idx="0">
                  <c:v>Культура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Святкування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7"/>
                <c:pt idx="0">
                  <c:v>17393.400000000005</c:v>
                </c:pt>
                <c:pt idx="1">
                  <c:v>9291.500000000002</c:v>
                </c:pt>
                <c:pt idx="2">
                  <c:v>59.6</c:v>
                </c:pt>
                <c:pt idx="3">
                  <c:v>1020.4999999999999</c:v>
                </c:pt>
                <c:pt idx="4">
                  <c:v>704.9999999999999</c:v>
                </c:pt>
                <c:pt idx="5">
                  <c:v>34.2</c:v>
                </c:pt>
                <c:pt idx="6">
                  <c:v>6282.600000000003</c:v>
                </c:pt>
              </c:numCache>
            </c:numRef>
          </c:val>
          <c:shape val="box"/>
        </c:ser>
        <c:shape val="box"/>
        <c:axId val="4552977"/>
        <c:axId val="40976794"/>
      </c:bar3DChart>
      <c:catAx>
        <c:axId val="45529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0976794"/>
        <c:crosses val="autoZero"/>
        <c:auto val="1"/>
        <c:lblOffset val="100"/>
        <c:tickLblSkip val="1"/>
        <c:noMultiLvlLbl val="0"/>
      </c:catAx>
      <c:valAx>
        <c:axId val="4097679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5297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9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2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095"/>
          <c:w val="0.8635"/>
          <c:h val="0.669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фінансування'!$C$51:$C$57</c:f>
              <c:numCache>
                <c:ptCount val="7"/>
                <c:pt idx="0">
                  <c:v>37735.6</c:v>
                </c:pt>
                <c:pt idx="1">
                  <c:v>20179.600000000002</c:v>
                </c:pt>
                <c:pt idx="2">
                  <c:v>15.28435</c:v>
                </c:pt>
                <c:pt idx="3">
                  <c:v>1093.6</c:v>
                </c:pt>
                <c:pt idx="4">
                  <c:v>1219.9</c:v>
                </c:pt>
                <c:pt idx="5">
                  <c:v>1320</c:v>
                </c:pt>
                <c:pt idx="6">
                  <c:v>13907.215649999996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фінансування'!$D$51:$D$57</c:f>
              <c:numCache>
                <c:ptCount val="7"/>
                <c:pt idx="0">
                  <c:v>24377.800000000003</c:v>
                </c:pt>
                <c:pt idx="1">
                  <c:v>14554.9</c:v>
                </c:pt>
                <c:pt idx="2">
                  <c:v>1</c:v>
                </c:pt>
                <c:pt idx="3">
                  <c:v>635.3</c:v>
                </c:pt>
                <c:pt idx="4">
                  <c:v>548.6000000000001</c:v>
                </c:pt>
                <c:pt idx="5">
                  <c:v>990</c:v>
                </c:pt>
                <c:pt idx="6">
                  <c:v>7648.000000000004</c:v>
                </c:pt>
              </c:numCache>
            </c:numRef>
          </c:val>
          <c:shape val="box"/>
        </c:ser>
        <c:shape val="box"/>
        <c:axId val="33246827"/>
        <c:axId val="30785988"/>
      </c:bar3DChart>
      <c:catAx>
        <c:axId val="332468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0785988"/>
        <c:crosses val="autoZero"/>
        <c:auto val="1"/>
        <c:lblOffset val="100"/>
        <c:tickLblSkip val="2"/>
        <c:noMultiLvlLbl val="0"/>
      </c:catAx>
      <c:valAx>
        <c:axId val="307859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24682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25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-0.001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0275"/>
          <c:w val="0.8775"/>
          <c:h val="0.691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фінансування'!$C$59:$C$64</c:f>
              <c:numCache>
                <c:ptCount val="6"/>
                <c:pt idx="0">
                  <c:v>9596.6</c:v>
                </c:pt>
                <c:pt idx="1">
                  <c:v>3119.7</c:v>
                </c:pt>
                <c:pt idx="2">
                  <c:v>393.09999999999997</c:v>
                </c:pt>
                <c:pt idx="3">
                  <c:v>393.7</c:v>
                </c:pt>
                <c:pt idx="4">
                  <c:v>4866.6</c:v>
                </c:pt>
                <c:pt idx="5">
                  <c:v>823.5000000000005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фінансування'!$D$59:$D$64</c:f>
              <c:numCache>
                <c:ptCount val="6"/>
                <c:pt idx="0">
                  <c:v>7208.9000000000015</c:v>
                </c:pt>
                <c:pt idx="1">
                  <c:v>2300.4000000000005</c:v>
                </c:pt>
                <c:pt idx="2">
                  <c:v>391.1</c:v>
                </c:pt>
                <c:pt idx="3">
                  <c:v>228.8999999999999</c:v>
                </c:pt>
                <c:pt idx="4">
                  <c:v>3583.4</c:v>
                </c:pt>
                <c:pt idx="5">
                  <c:v>705.1000000000012</c:v>
                </c:pt>
              </c:numCache>
            </c:numRef>
          </c:val>
          <c:shape val="box"/>
        </c:ser>
        <c:shape val="box"/>
        <c:axId val="8638437"/>
        <c:axId val="10637070"/>
      </c:bar3DChart>
      <c:catAx>
        <c:axId val="86384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0637070"/>
        <c:crosses val="autoZero"/>
        <c:auto val="1"/>
        <c:lblOffset val="100"/>
        <c:tickLblSkip val="1"/>
        <c:noMultiLvlLbl val="0"/>
      </c:catAx>
      <c:valAx>
        <c:axId val="1063707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63843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2125"/>
          <c:y val="0.9245"/>
          <c:w val="0.2952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1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09425"/>
          <c:w val="0.85275"/>
          <c:h val="0.72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фінансування'!$C$95</c:f>
              <c:numCache>
                <c:ptCount val="1"/>
                <c:pt idx="0">
                  <c:v>87345.3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фінансування'!$D$95</c:f>
              <c:numCache>
                <c:ptCount val="1"/>
                <c:pt idx="0">
                  <c:v>30544</c:v>
                </c:pt>
              </c:numCache>
            </c:numRef>
          </c:val>
          <c:shape val="box"/>
        </c:ser>
        <c:shape val="box"/>
        <c:axId val="28624767"/>
        <c:axId val="56296312"/>
      </c:bar3DChart>
      <c:catAx>
        <c:axId val="286247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6296312"/>
        <c:crosses val="autoZero"/>
        <c:auto val="1"/>
        <c:lblOffset val="100"/>
        <c:tickLblSkip val="1"/>
        <c:noMultiLvlLbl val="0"/>
      </c:catAx>
      <c:valAx>
        <c:axId val="562963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62476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5"/>
          <c:y val="0.92375"/>
          <c:w val="0.29725"/>
          <c:h val="0.05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4625"/>
          <c:w val="0.851"/>
          <c:h val="0.589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фінансування'!$C$59,'аналіз фінансування'!$C$90,'аналіз фінансування'!$C$95)</c:f>
              <c:numCache>
                <c:ptCount val="7"/>
                <c:pt idx="0">
                  <c:v>827119.6</c:v>
                </c:pt>
                <c:pt idx="1">
                  <c:v>406096.89999999997</c:v>
                </c:pt>
                <c:pt idx="2">
                  <c:v>24869.499999999996</c:v>
                </c:pt>
                <c:pt idx="3">
                  <c:v>37735.6</c:v>
                </c:pt>
                <c:pt idx="4">
                  <c:v>9596.6</c:v>
                </c:pt>
                <c:pt idx="5">
                  <c:v>204055.2</c:v>
                </c:pt>
                <c:pt idx="6">
                  <c:v>87345.3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фінансування'!$D$59,'аналіз фінансування'!$D$90,'аналіз фінансування'!$D$95)</c:f>
              <c:numCache>
                <c:ptCount val="7"/>
                <c:pt idx="0">
                  <c:v>604978.1000000001</c:v>
                </c:pt>
                <c:pt idx="1">
                  <c:v>296152.9000000001</c:v>
                </c:pt>
                <c:pt idx="2">
                  <c:v>17393.400000000005</c:v>
                </c:pt>
                <c:pt idx="3">
                  <c:v>24377.800000000003</c:v>
                </c:pt>
                <c:pt idx="4">
                  <c:v>7208.9000000000015</c:v>
                </c:pt>
                <c:pt idx="5">
                  <c:v>158562.69999999995</c:v>
                </c:pt>
                <c:pt idx="6">
                  <c:v>30544</c:v>
                </c:pt>
              </c:numCache>
            </c:numRef>
          </c:val>
          <c:shape val="box"/>
        </c:ser>
        <c:shape val="box"/>
        <c:axId val="36904761"/>
        <c:axId val="63707394"/>
      </c:bar3DChart>
      <c:catAx>
        <c:axId val="369047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3707394"/>
        <c:crosses val="autoZero"/>
        <c:auto val="1"/>
        <c:lblOffset val="100"/>
        <c:tickLblSkip val="1"/>
        <c:noMultiLvlLbl val="0"/>
      </c:catAx>
      <c:valAx>
        <c:axId val="6370739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90476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525"/>
          <c:y val="0.8765"/>
          <c:w val="0.291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275"/>
          <c:y val="-0.003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317"/>
          <c:w val="0.84125"/>
          <c:h val="0.47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фінансування'!$A$155:$A$160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фінансування'!$C$155:$C$160</c:f>
              <c:numCache>
                <c:ptCount val="6"/>
                <c:pt idx="0">
                  <c:v>897180</c:v>
                </c:pt>
                <c:pt idx="1">
                  <c:v>110563.99999999999</c:v>
                </c:pt>
                <c:pt idx="2">
                  <c:v>42113.5</c:v>
                </c:pt>
                <c:pt idx="3">
                  <c:v>30298.8</c:v>
                </c:pt>
                <c:pt idx="4">
                  <c:v>114.48435</c:v>
                </c:pt>
                <c:pt idx="5">
                  <c:v>1126176.9156499996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фінансування'!$A$155:$A$160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фінансування'!$D$155:$D$160</c:f>
              <c:numCache>
                <c:ptCount val="6"/>
                <c:pt idx="0">
                  <c:v>690018.9100000004</c:v>
                </c:pt>
                <c:pt idx="1">
                  <c:v>67873.79999999999</c:v>
                </c:pt>
                <c:pt idx="2">
                  <c:v>25611.699999999997</c:v>
                </c:pt>
                <c:pt idx="3">
                  <c:v>21771.300000000007</c:v>
                </c:pt>
                <c:pt idx="4">
                  <c:v>30</c:v>
                </c:pt>
                <c:pt idx="5">
                  <c:v>689713.9899999998</c:v>
                </c:pt>
              </c:numCache>
            </c:numRef>
          </c:val>
          <c:shape val="box"/>
        </c:ser>
        <c:shape val="box"/>
        <c:axId val="36495635"/>
        <c:axId val="60025260"/>
      </c:bar3DChart>
      <c:catAx>
        <c:axId val="364956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0025260"/>
        <c:crosses val="autoZero"/>
        <c:auto val="1"/>
        <c:lblOffset val="100"/>
        <c:tickLblSkip val="1"/>
        <c:noMultiLvlLbl val="0"/>
      </c:catAx>
      <c:valAx>
        <c:axId val="600252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49563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325"/>
          <c:y val="0.91075"/>
          <c:w val="0.29475"/>
          <c:h val="0.0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19050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19050"/>
        <a:ext cx="9963150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57150" y="66675"/>
        <a:ext cx="11572875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19050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19050"/>
        <a:ext cx="10296525" cy="5305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57150" y="38100"/>
        <a:ext cx="10220325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4</xdr:row>
      <xdr:rowOff>19050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85875" y="666750"/>
        <a:ext cx="8601075" cy="4829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6320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57150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53700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9"/>
  <sheetViews>
    <sheetView tabSelected="1" zoomScale="80" zoomScaleNormal="80" zoomScalePageLayoutView="0" workbookViewId="0" topLeftCell="A1">
      <pane xSplit="1" ySplit="5" topLeftCell="B131" activePane="bottomRight" state="frozen"/>
      <selection pane="topLeft" activeCell="A1" sqref="A1"/>
      <selection pane="topRight" activeCell="B1" sqref="B1"/>
      <selection pane="bottomLeft" activeCell="A7" sqref="A7"/>
      <selection pane="bottomRight" activeCell="O138" sqref="O138"/>
    </sheetView>
  </sheetViews>
  <sheetFormatPr defaultColWidth="9.00390625" defaultRowHeight="12.75"/>
  <cols>
    <col min="1" max="1" width="66.875" style="26" customWidth="1"/>
    <col min="2" max="2" width="19.00390625" style="26" customWidth="1"/>
    <col min="3" max="3" width="18.375" style="11" customWidth="1"/>
    <col min="4" max="4" width="19.00390625" style="11" customWidth="1"/>
    <col min="5" max="5" width="17.25390625" style="11" customWidth="1"/>
    <col min="6" max="7" width="19.37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73" t="s">
        <v>112</v>
      </c>
      <c r="B1" s="173"/>
      <c r="C1" s="173"/>
      <c r="D1" s="173"/>
      <c r="E1" s="173"/>
      <c r="F1" s="173"/>
      <c r="G1" s="173"/>
      <c r="H1" s="173"/>
      <c r="I1" s="173"/>
    </row>
    <row r="2" spans="1:8" ht="9.75" customHeight="1" thickBot="1">
      <c r="A2" s="19"/>
      <c r="B2" s="19"/>
      <c r="C2" s="10"/>
      <c r="D2" s="10"/>
      <c r="E2" s="10"/>
      <c r="F2" s="10"/>
      <c r="G2" s="10"/>
      <c r="H2" s="10"/>
    </row>
    <row r="3" spans="1:9" ht="29.25" customHeight="1">
      <c r="A3" s="177" t="s">
        <v>40</v>
      </c>
      <c r="B3" s="180" t="s">
        <v>109</v>
      </c>
      <c r="C3" s="174" t="s">
        <v>106</v>
      </c>
      <c r="D3" s="174" t="s">
        <v>22</v>
      </c>
      <c r="E3" s="174" t="s">
        <v>21</v>
      </c>
      <c r="F3" s="174" t="s">
        <v>110</v>
      </c>
      <c r="G3" s="174" t="s">
        <v>107</v>
      </c>
      <c r="H3" s="174" t="s">
        <v>111</v>
      </c>
      <c r="I3" s="174" t="s">
        <v>108</v>
      </c>
    </row>
    <row r="4" spans="1:9" ht="24.75" customHeight="1">
      <c r="A4" s="178"/>
      <c r="B4" s="181"/>
      <c r="C4" s="175"/>
      <c r="D4" s="175"/>
      <c r="E4" s="175"/>
      <c r="F4" s="175"/>
      <c r="G4" s="175"/>
      <c r="H4" s="175"/>
      <c r="I4" s="175"/>
    </row>
    <row r="5" spans="1:10" ht="39" customHeight="1" thickBot="1">
      <c r="A5" s="179"/>
      <c r="B5" s="182"/>
      <c r="C5" s="176"/>
      <c r="D5" s="176"/>
      <c r="E5" s="176"/>
      <c r="F5" s="176"/>
      <c r="G5" s="176"/>
      <c r="H5" s="176"/>
      <c r="I5" s="176"/>
      <c r="J5" s="93"/>
    </row>
    <row r="6" spans="1:11" ht="18.75" thickBot="1">
      <c r="A6" s="20" t="s">
        <v>26</v>
      </c>
      <c r="B6" s="38">
        <f>681593+809.8</f>
        <v>682402.8</v>
      </c>
      <c r="C6" s="39">
        <f>826775+13431.5+510-13431.5+16-2334+20.8+1070.1+1061.7</f>
        <v>827119.6</v>
      </c>
      <c r="D6" s="40">
        <f>18784.8+19.1+1564+604.6+17261.2+400.5+10875.2+151.3+0.7+306.3+593.7+110+1396.3+9132.6+10728.8+272.5+616.2+58.8+521.9+257.8+1268.1+880.8+27792.6+9963.6+1287.2+1.6+60.1+4.3+1251.3+2463.2+25258.1+204.9+66.2+1991.6+1935.4+1346.4+3127.7+1586.3+2096.9+3.3+23817.2+9968.6-0.1+102.3+1.5+106.4+4889.9+12872.8+9459.9+2026.8+3569.9+20.4+34.1+1430.4+818.6+1203+28351+2661.6+130.7+1.4+0.6+458.3+263.2+922.5+121.7+15.4+9598.2+14777.7+70+563.9+2338.3+657.5+118.8+49+1579+27211.3+23759.4+217.6+0.3+0.3+82+278.2+3644+19.8+76+1002.9+178.6+57.8+36528.9+19640.2+667.4+627.6+59.4+862.1+361.5+807+809.7+215+31363.2+8511.9+2.4-0.5-1.1+1748.2+179.9+491.9+261.6+360.8+4.6+9436.7+764+333+923.2+3162.3+23.8+747.2+396.8+17.7+154+1415.7+10486.2+120.4+12+196.9+302.6+3.4+241.5+564.1+0.3+409.7+6351.3+3426.1+7.2+332.8+139.8+550.1+403.6+248.7+118+417.3+700.2+14138.1+9016.3+1439.5+19.4+1+294.9+385.1+11878.7+9355.5+280.9+82.5+606.6+43.5+958.6+873.8+516.6+886.6+333.9+18847.4+12599.9+3155.9+4130.8+914.7+1007.9+11799+9728.1</f>
        <v>604978.1000000001</v>
      </c>
      <c r="E6" s="3">
        <f>D6/D154*100</f>
        <v>40.46622930788136</v>
      </c>
      <c r="F6" s="3">
        <f>D6/B6*100</f>
        <v>88.65410575689316</v>
      </c>
      <c r="G6" s="3">
        <f aca="true" t="shared" si="0" ref="G6:G43">D6/C6*100</f>
        <v>73.14275952353204</v>
      </c>
      <c r="H6" s="40">
        <f>B6-D6</f>
        <v>77424.69999999995</v>
      </c>
      <c r="I6" s="40">
        <f aca="true" t="shared" si="1" ref="I6:I43">C6-D6</f>
        <v>222141.49999999988</v>
      </c>
      <c r="J6" s="166"/>
      <c r="K6" s="153"/>
    </row>
    <row r="7" spans="1:12" s="94" customFormat="1" ht="18.75">
      <c r="A7" s="140" t="s">
        <v>81</v>
      </c>
      <c r="B7" s="141">
        <v>223162</v>
      </c>
      <c r="C7" s="142">
        <v>262517.6</v>
      </c>
      <c r="D7" s="143">
        <f>8282.7+10875.2+9132.6+9963.6+4.3+9215.1+9968.6+9459.9+11450.4+9572.3+23759.4-0.1+3644+36528.9+8511.9+179.9+764+816.4+0.1+3426.1+9016.3+0.5+9355.5+12599.9+4130.8+9728.1</f>
        <v>210386.39999999997</v>
      </c>
      <c r="E7" s="144">
        <f>D7/D6*100</f>
        <v>34.7758703992756</v>
      </c>
      <c r="F7" s="144">
        <f>D7/B7*100</f>
        <v>94.27519022055725</v>
      </c>
      <c r="G7" s="144">
        <f>D7/C7*100</f>
        <v>80.14182668133488</v>
      </c>
      <c r="H7" s="143">
        <f>B7-D7</f>
        <v>12775.600000000035</v>
      </c>
      <c r="I7" s="143">
        <f t="shared" si="1"/>
        <v>52131.20000000001</v>
      </c>
      <c r="J7" s="168"/>
      <c r="K7" s="153"/>
      <c r="L7" s="139"/>
    </row>
    <row r="8" spans="1:12" s="93" customFormat="1" ht="18">
      <c r="A8" s="102" t="s">
        <v>3</v>
      </c>
      <c r="B8" s="126">
        <v>550357.7</v>
      </c>
      <c r="C8" s="127">
        <f>649221.9+8415.5-2000+877</f>
        <v>656514.4</v>
      </c>
      <c r="D8" s="104">
        <f>18784.8+17058.5+10875.2+340.5+963.8+9132.6+10728.8+20670.9+9963.6+30.7+4.3+37.1+20227.5+2+9968.6+19814.4+11230.1+9459.9+20.4+27982.6+1967.7+0.6+48.1+3.5+9572.3+12806.6+0.7+22472.9+23759.4-0.1+211.9+3644+36528.9+19638.7+2+31336+8511.9+2.3+1748.2+179.9+9436.7+764+10205.6+196.9+34+6342.2+3426.1+7.2+14002.4+9016.3+1+11639.1+9355.5+17852.2+12599.9+4130.8+3155.9+11367.5+9728.1</f>
        <v>502993.2000000002</v>
      </c>
      <c r="E8" s="106">
        <f>D8/D6*100</f>
        <v>83.14238151761198</v>
      </c>
      <c r="F8" s="106">
        <f>D8/B8*100</f>
        <v>91.39386984137775</v>
      </c>
      <c r="G8" s="106">
        <f t="shared" si="0"/>
        <v>76.61571475050664</v>
      </c>
      <c r="H8" s="104">
        <f>B8-D8</f>
        <v>47364.49999999977</v>
      </c>
      <c r="I8" s="104">
        <f t="shared" si="1"/>
        <v>153521.19999999984</v>
      </c>
      <c r="J8" s="166"/>
      <c r="K8" s="153"/>
      <c r="L8" s="139"/>
    </row>
    <row r="9" spans="1:12" s="93" customFormat="1" ht="18">
      <c r="A9" s="102" t="s">
        <v>2</v>
      </c>
      <c r="B9" s="126">
        <v>97.7</v>
      </c>
      <c r="C9" s="127">
        <v>97.7</v>
      </c>
      <c r="D9" s="104">
        <f>3.4+5.4+0.8+4.1+3.6+0.3+0.3+3.4+3.4+3.6</f>
        <v>28.3</v>
      </c>
      <c r="E9" s="128">
        <f>D9/D6*100</f>
        <v>0.0046778552810424045</v>
      </c>
      <c r="F9" s="106">
        <f>D9/B9*100</f>
        <v>28.966223132036845</v>
      </c>
      <c r="G9" s="106">
        <f t="shared" si="0"/>
        <v>28.966223132036845</v>
      </c>
      <c r="H9" s="104">
        <f aca="true" t="shared" si="2" ref="H9:H43">B9-D9</f>
        <v>69.4</v>
      </c>
      <c r="I9" s="104">
        <f t="shared" si="1"/>
        <v>69.4</v>
      </c>
      <c r="J9" s="166"/>
      <c r="K9" s="153"/>
      <c r="L9" s="139"/>
    </row>
    <row r="10" spans="1:12" s="93" customFormat="1" ht="18">
      <c r="A10" s="102" t="s">
        <v>1</v>
      </c>
      <c r="B10" s="126">
        <v>32276.3</v>
      </c>
      <c r="C10" s="127">
        <f>52816.3-8415.5-19.2-3934.8</f>
        <v>40446.8</v>
      </c>
      <c r="D10" s="145">
        <f>48.9+218.8+88.4+85.8+204.3+521.3+87.9+293.2+244.8+269.9+23.7+37.8+76.9+443.5+72.7+206+64-0.1+91.4+327.2+264.1+9.2+95.9+74.6+15.1+25+206.8+75.6+0.4+2993.6+83.8+354.8+44.3+30.2+21.4+9.3+291.3+59.1+25.3+309.8+2.1+256.9+2.7+603.6+33.3+551.7+33.6+295.5+3721.6+217.4+0.3+0.3+69.8+0.8+49.9+377.2+2.2+83.3+20.3+19.4+61.4+113.3+79.3+1.8+66.6+594.1+2621.1+74.9+4.8+9.1+87.5+10.5+0.2+63.4+226.3+28+24.4+70.3+1.5+8.2+1383.7+256.2+51.1+280.9+48.1+157.6+521.2+247.7+188.5+416.8+97+484.1+632.4+532.2+293.2</f>
        <v>24475.3</v>
      </c>
      <c r="E10" s="106">
        <f>D10/D6*100</f>
        <v>4.045650578095305</v>
      </c>
      <c r="F10" s="106">
        <f aca="true" t="shared" si="3" ref="F10:F41">D10/B10*100</f>
        <v>75.83056298274585</v>
      </c>
      <c r="G10" s="106">
        <f t="shared" si="0"/>
        <v>60.51232730401416</v>
      </c>
      <c r="H10" s="104">
        <f t="shared" si="2"/>
        <v>7801</v>
      </c>
      <c r="I10" s="104">
        <f t="shared" si="1"/>
        <v>15971.500000000004</v>
      </c>
      <c r="J10" s="166"/>
      <c r="K10" s="153"/>
      <c r="L10" s="139"/>
    </row>
    <row r="11" spans="1:12" s="93" customFormat="1" ht="18">
      <c r="A11" s="102" t="s">
        <v>0</v>
      </c>
      <c r="B11" s="126">
        <f>61296.9+809.8</f>
        <v>62106.700000000004</v>
      </c>
      <c r="C11" s="127">
        <v>88172.4</v>
      </c>
      <c r="D11" s="146">
        <f>19.1+640.6+125.5+108.2+60+64.1+0.7+97.8+43.1+15+139.1+27.1+31.6+324.4+180.4+824.6+269.5+6895.2+1223.1+1.6+0.1+1078.7+2077.1+4723+204.5+1867.4+1644.3+1147.4+2807.9+0.4+1264.2+1486.3+0.9+773+10.7+64.3+4505.7+1218.1+1977.6+2996+1255.3+201.6+626.2+328.9+234.8+120-0.2+107.3+200.6+922.5+1.3+1165.1+7.7+1214.6+442.9+113.5+15.4+686.4+723.2-0.1+12.2+0.6+23.5+73.7+134.4+0.6+32.7+0.2+63.2+34.6+525.1+122.7+112.2+407.2+3.4+1.8+0.2-1.1+52.2+29.8+4.3+265.7+13.7+1.7+14.9+105.3+347.5+13.9+4.3+12.7+163.4+30.5+0.4+135+11.8+4.2+14.2+88+274.6+15.1+10.4+114.9+3.6+1.3+1.9+2.6+41.7+145.2+8.8+32.7+407.8+125.7+72.9+14.4+10.6+12.8+93.8+382.3+126.3</f>
        <v>54065.399999999994</v>
      </c>
      <c r="E11" s="106">
        <f>D11/D6*100</f>
        <v>8.93675324776219</v>
      </c>
      <c r="F11" s="106">
        <f t="shared" si="3"/>
        <v>87.05244361719426</v>
      </c>
      <c r="G11" s="106">
        <f t="shared" si="0"/>
        <v>61.31782734733318</v>
      </c>
      <c r="H11" s="104">
        <f t="shared" si="2"/>
        <v>8041.30000000001</v>
      </c>
      <c r="I11" s="104">
        <f t="shared" si="1"/>
        <v>34107</v>
      </c>
      <c r="J11" s="166"/>
      <c r="K11" s="153"/>
      <c r="L11" s="139"/>
    </row>
    <row r="12" spans="1:12" s="93" customFormat="1" ht="18">
      <c r="A12" s="102" t="s">
        <v>14</v>
      </c>
      <c r="B12" s="126">
        <v>10485.4</v>
      </c>
      <c r="C12" s="127">
        <v>12738</v>
      </c>
      <c r="D12" s="104">
        <f>874.5+251.8+346.3+159.7+538.5+10.6+57+168.9+31.7+165.3+10.6+439.5+199.1+10.6+10.6+19+325.9+10.6+160.6+453.5-0.1+21.1+21.1+563.9+19+160.9+282.3+19+21.1+523.5+168.9+208.4+214.2+11+120.2+238.1+77.3+88.4+143.6+33.1+97.5+90.7+11+91.4+97.6+10.6+295.3+0.5+86.9+44.2+257.2+154.8+13.2+155.1+5.9+268+10.3</f>
        <v>8869.499999999998</v>
      </c>
      <c r="E12" s="106">
        <f>D12/D6*100</f>
        <v>1.4660861277457808</v>
      </c>
      <c r="F12" s="106">
        <f t="shared" si="3"/>
        <v>84.58904762813053</v>
      </c>
      <c r="G12" s="106">
        <f t="shared" si="0"/>
        <v>69.63024022609513</v>
      </c>
      <c r="H12" s="104">
        <f>B12-D12</f>
        <v>1615.9000000000015</v>
      </c>
      <c r="I12" s="104">
        <f t="shared" si="1"/>
        <v>3868.500000000002</v>
      </c>
      <c r="J12" s="166"/>
      <c r="K12" s="153"/>
      <c r="L12" s="139"/>
    </row>
    <row r="13" spans="1:12" s="93" customFormat="1" ht="18.75" thickBot="1">
      <c r="A13" s="102" t="s">
        <v>27</v>
      </c>
      <c r="B13" s="127">
        <f>B6-B8-B9-B10-B11-B12</f>
        <v>27079.000000000073</v>
      </c>
      <c r="C13" s="127">
        <f>C6-C8-C9-C10-C11-C12</f>
        <v>29150.299999999945</v>
      </c>
      <c r="D13" s="127">
        <f>D6-D8-D9-D10-D11-D12</f>
        <v>14546.399999999909</v>
      </c>
      <c r="E13" s="106">
        <f>D13/D6*100</f>
        <v>2.4044506735037032</v>
      </c>
      <c r="F13" s="106">
        <f t="shared" si="3"/>
        <v>53.71837955611311</v>
      </c>
      <c r="G13" s="106">
        <f t="shared" si="0"/>
        <v>49.90137322771957</v>
      </c>
      <c r="H13" s="104">
        <f t="shared" si="2"/>
        <v>12532.600000000164</v>
      </c>
      <c r="I13" s="104">
        <f t="shared" si="1"/>
        <v>14603.900000000036</v>
      </c>
      <c r="J13" s="166"/>
      <c r="K13" s="153"/>
      <c r="L13" s="139"/>
    </row>
    <row r="14" spans="1:13" s="32" customFormat="1" ht="18.75" customHeight="1" hidden="1">
      <c r="A14" s="74" t="s">
        <v>61</v>
      </c>
      <c r="B14" s="72"/>
      <c r="C14" s="72"/>
      <c r="D14" s="72"/>
      <c r="E14" s="73"/>
      <c r="F14" s="73" t="e">
        <f>D14/B14*100</f>
        <v>#DIV/0!</v>
      </c>
      <c r="G14" s="73" t="e">
        <f>D14/C14*100</f>
        <v>#DIV/0!</v>
      </c>
      <c r="H14" s="79">
        <f>B14-D14</f>
        <v>0</v>
      </c>
      <c r="I14" s="79">
        <f>C14-D14</f>
        <v>0</v>
      </c>
      <c r="J14" s="168"/>
      <c r="K14" s="11"/>
      <c r="L14" s="11"/>
      <c r="M14" s="11"/>
    </row>
    <row r="15" spans="1:13" s="32" customFormat="1" ht="18.75" customHeight="1" hidden="1">
      <c r="A15" s="74" t="s">
        <v>58</v>
      </c>
      <c r="B15" s="72"/>
      <c r="C15" s="72"/>
      <c r="D15" s="72"/>
      <c r="E15" s="73"/>
      <c r="F15" s="73" t="e">
        <f>D15/B15*100</f>
        <v>#DIV/0!</v>
      </c>
      <c r="G15" s="73" t="e">
        <f>D15/C15*100</f>
        <v>#DIV/0!</v>
      </c>
      <c r="H15" s="79">
        <f>B15-D15</f>
        <v>0</v>
      </c>
      <c r="I15" s="79">
        <f>C15-D15</f>
        <v>0</v>
      </c>
      <c r="J15" s="168"/>
      <c r="K15" s="11"/>
      <c r="L15" s="11"/>
      <c r="M15" s="11"/>
    </row>
    <row r="16" spans="1:13" s="32" customFormat="1" ht="19.5" hidden="1" thickBot="1">
      <c r="A16" s="74" t="s">
        <v>59</v>
      </c>
      <c r="B16" s="72"/>
      <c r="C16" s="72"/>
      <c r="D16" s="72"/>
      <c r="E16" s="73"/>
      <c r="F16" s="73" t="e">
        <f>D16/B16*100</f>
        <v>#DIV/0!</v>
      </c>
      <c r="G16" s="73" t="e">
        <f>D16/C16*100</f>
        <v>#DIV/0!</v>
      </c>
      <c r="H16" s="79">
        <f>B16-D16</f>
        <v>0</v>
      </c>
      <c r="I16" s="79">
        <f>C16-D16</f>
        <v>0</v>
      </c>
      <c r="J16" s="168"/>
      <c r="K16" s="11"/>
      <c r="L16" s="11"/>
      <c r="M16" s="11"/>
    </row>
    <row r="17" spans="1:13" s="32" customFormat="1" ht="19.5" hidden="1" thickBot="1">
      <c r="A17" s="74" t="s">
        <v>60</v>
      </c>
      <c r="B17" s="72"/>
      <c r="C17" s="72"/>
      <c r="D17" s="72"/>
      <c r="E17" s="73"/>
      <c r="F17" s="73" t="e">
        <f>D17/B17*100</f>
        <v>#DIV/0!</v>
      </c>
      <c r="G17" s="73" t="e">
        <f>D17/C17*100</f>
        <v>#DIV/0!</v>
      </c>
      <c r="H17" s="79">
        <f>B17-D17</f>
        <v>0</v>
      </c>
      <c r="I17" s="79">
        <f>C17-D17</f>
        <v>0</v>
      </c>
      <c r="J17" s="168"/>
      <c r="K17" s="11"/>
      <c r="L17" s="11"/>
      <c r="M17" s="11"/>
    </row>
    <row r="18" spans="1:11" ht="18.75" thickBot="1">
      <c r="A18" s="20" t="s">
        <v>19</v>
      </c>
      <c r="B18" s="38">
        <v>333159.1</v>
      </c>
      <c r="C18" s="39">
        <f>424151.5+750.3+185.6-18990.5</f>
        <v>406096.89999999997</v>
      </c>
      <c r="D18" s="40">
        <f>10253+9229.9+6482.3+67.5+83+34.1+81.4+107.8+99.9+131.7+68+568.1+670.4+12.4+333.8+10669.5+2627.5+1015+0.9+691.6+930.5+6776.6+9161.8+16.3+11.4+22.9+213.8+133.4+11883.2+396.4+2437.1+638.7+161.5+13.6+0.4+4839.5+5306.6+2936.5+6666.4+120+53.2-81.5+1487.6+379+1470.9+624.4+750+10164.8+983.2+582.4+2406.6+578+0.5+199.4+936.3+5254.6+11779.3+9+0.3-270+75.3+504.8+29.3+0.6+12258+2322.7+1.7+7.7+19.7+186.3+953.3+92.7+25+82.9+301.6+545.3+15.2+66.4+170.5+7740.6+7930.3+379+0.4+348.3+28.9+154.4+832.9+1674.2+402.7+21.6+10818.2+829.8+662.4+207+834.4+12.3+49.5+111.7+213.2+173.4+378.8+383.4+338+205.3+188.2+217.6+9373.5+8656.4+0.2+601.1+5.5+990.7+759.8+0.1+513.6+9223.7+482.3+471.7+91.5+98.7+181.5+1347.7+130.7+313.8+13322.8+260.4+63.4+1214.5+919.1+586.1+8962.4+1.3+292.6+401+203.1+11.8+657.3+8394.8+4603.2+59.8+20.7+1.5+405+813.9+84.2+5.4+556.4+8696.9+931.9+690.3+3.9+267.3+1684.3+3591.2+7.7+1628.8+8145.7+1348.9+338.7+225.4+7510.8</f>
        <v>296152.9000000001</v>
      </c>
      <c r="E18" s="3">
        <f>D18/D154*100</f>
        <v>19.8092974962136</v>
      </c>
      <c r="F18" s="3">
        <f>D18/B18*100</f>
        <v>88.89233402299385</v>
      </c>
      <c r="G18" s="3">
        <f t="shared" si="0"/>
        <v>72.92665863738435</v>
      </c>
      <c r="H18" s="40">
        <f>B18-D18</f>
        <v>37006.199999999895</v>
      </c>
      <c r="I18" s="40">
        <f t="shared" si="1"/>
        <v>109943.99999999988</v>
      </c>
      <c r="J18" s="166"/>
      <c r="K18" s="153"/>
    </row>
    <row r="19" spans="1:13" s="94" customFormat="1" ht="18.75">
      <c r="A19" s="140" t="s">
        <v>82</v>
      </c>
      <c r="B19" s="141">
        <v>196322.3</v>
      </c>
      <c r="C19" s="142">
        <f>226186+750.3+185.6+589.9</f>
        <v>227711.8</v>
      </c>
      <c r="D19" s="143">
        <f>10253+8836.7+83+81.4+67.5+107.8+99.9+68+670.4+333.8+10669.5+517.6+20+0.9+930.5+9161.8+16.3+11.4+213.8+133.4+10945.8+52.3+638.7+0.4+5306.6+6666.4+53.2+13.5+1487.6+379+624.4+10164.8+582.4+578+0.5+199.4+5254.6+705.2+0.3+504.8+29.3+0.6+11816.1+1.7+953.3+126+25+545.3+170.5+7930.3+379+19.4+28.9+154.4+1674.2+10818.2+662.4+834.4+49.5+213.2+378.8+338+188.2+8873.9+0.1+759.8+9223.7+471.7+98.7+181.5+703.8+66.7+294.4+3894+0.2+260.2+919.1+8962.4+332.1+203.1+11.8+443.1+4603.2+1.5+813.9+5.4+8696.9+690.3+267.3+3591.2+1628.8+338.7+7510.8</f>
        <v>187619.6</v>
      </c>
      <c r="E19" s="144">
        <f>D19/D18*100</f>
        <v>63.35227512545038</v>
      </c>
      <c r="F19" s="144">
        <f t="shared" si="3"/>
        <v>95.56713628558754</v>
      </c>
      <c r="G19" s="144">
        <f t="shared" si="0"/>
        <v>82.39344645292867</v>
      </c>
      <c r="H19" s="143">
        <f t="shared" si="2"/>
        <v>8702.699999999983</v>
      </c>
      <c r="I19" s="143">
        <f t="shared" si="1"/>
        <v>40092.19999999998</v>
      </c>
      <c r="J19" s="168"/>
      <c r="K19" s="153"/>
      <c r="L19" s="93"/>
      <c r="M19" s="93"/>
    </row>
    <row r="20" spans="1:11" s="93" customFormat="1" ht="18" hidden="1">
      <c r="A20" s="102" t="s">
        <v>5</v>
      </c>
      <c r="B20" s="126"/>
      <c r="C20" s="127"/>
      <c r="D20" s="104"/>
      <c r="E20" s="106">
        <f>D20/D18*100</f>
        <v>0</v>
      </c>
      <c r="F20" s="106" t="e">
        <f t="shared" si="3"/>
        <v>#DIV/0!</v>
      </c>
      <c r="G20" s="106" t="e">
        <f t="shared" si="0"/>
        <v>#DIV/0!</v>
      </c>
      <c r="H20" s="104">
        <f t="shared" si="2"/>
        <v>0</v>
      </c>
      <c r="I20" s="104">
        <f t="shared" si="1"/>
        <v>0</v>
      </c>
      <c r="J20" s="166"/>
      <c r="K20" s="153">
        <f>C20-B20</f>
        <v>0</v>
      </c>
    </row>
    <row r="21" spans="1:11" s="93" customFormat="1" ht="18" hidden="1">
      <c r="A21" s="102" t="s">
        <v>2</v>
      </c>
      <c r="B21" s="126"/>
      <c r="C21" s="127"/>
      <c r="D21" s="104"/>
      <c r="E21" s="106">
        <f>D21/D18*100</f>
        <v>0</v>
      </c>
      <c r="F21" s="106" t="e">
        <f t="shared" si="3"/>
        <v>#DIV/0!</v>
      </c>
      <c r="G21" s="106" t="e">
        <f t="shared" si="0"/>
        <v>#DIV/0!</v>
      </c>
      <c r="H21" s="104">
        <f t="shared" si="2"/>
        <v>0</v>
      </c>
      <c r="I21" s="104">
        <f t="shared" si="1"/>
        <v>0</v>
      </c>
      <c r="J21" s="166"/>
      <c r="K21" s="153">
        <f>C21-B21</f>
        <v>0</v>
      </c>
    </row>
    <row r="22" spans="1:11" s="93" customFormat="1" ht="18" hidden="1">
      <c r="A22" s="102" t="s">
        <v>1</v>
      </c>
      <c r="B22" s="126"/>
      <c r="C22" s="127"/>
      <c r="D22" s="104"/>
      <c r="E22" s="106">
        <f>D22/D18*100</f>
        <v>0</v>
      </c>
      <c r="F22" s="106" t="e">
        <f t="shared" si="3"/>
        <v>#DIV/0!</v>
      </c>
      <c r="G22" s="106" t="e">
        <f t="shared" si="0"/>
        <v>#DIV/0!</v>
      </c>
      <c r="H22" s="104">
        <f t="shared" si="2"/>
        <v>0</v>
      </c>
      <c r="I22" s="104">
        <f t="shared" si="1"/>
        <v>0</v>
      </c>
      <c r="J22" s="166"/>
      <c r="K22" s="153">
        <f>C22-B22</f>
        <v>0</v>
      </c>
    </row>
    <row r="23" spans="1:11" s="93" customFormat="1" ht="18" hidden="1">
      <c r="A23" s="102" t="s">
        <v>0</v>
      </c>
      <c r="B23" s="126"/>
      <c r="C23" s="127"/>
      <c r="D23" s="104"/>
      <c r="E23" s="106">
        <f>D23/D18*100</f>
        <v>0</v>
      </c>
      <c r="F23" s="106" t="e">
        <f t="shared" si="3"/>
        <v>#DIV/0!</v>
      </c>
      <c r="G23" s="106" t="e">
        <f t="shared" si="0"/>
        <v>#DIV/0!</v>
      </c>
      <c r="H23" s="104">
        <f t="shared" si="2"/>
        <v>0</v>
      </c>
      <c r="I23" s="104">
        <f t="shared" si="1"/>
        <v>0</v>
      </c>
      <c r="J23" s="166"/>
      <c r="K23" s="153">
        <f>C23-B23</f>
        <v>0</v>
      </c>
    </row>
    <row r="24" spans="1:11" s="93" customFormat="1" ht="18" hidden="1">
      <c r="A24" s="102" t="s">
        <v>14</v>
      </c>
      <c r="B24" s="126"/>
      <c r="C24" s="127"/>
      <c r="D24" s="104"/>
      <c r="E24" s="106">
        <f>D24/D18*100</f>
        <v>0</v>
      </c>
      <c r="F24" s="106" t="e">
        <f t="shared" si="3"/>
        <v>#DIV/0!</v>
      </c>
      <c r="G24" s="106" t="e">
        <f t="shared" si="0"/>
        <v>#DIV/0!</v>
      </c>
      <c r="H24" s="104">
        <f t="shared" si="2"/>
        <v>0</v>
      </c>
      <c r="I24" s="104">
        <f t="shared" si="1"/>
        <v>0</v>
      </c>
      <c r="J24" s="166"/>
      <c r="K24" s="153">
        <f>C24-B24</f>
        <v>0</v>
      </c>
    </row>
    <row r="25" spans="1:11" s="93" customFormat="1" ht="18.75" thickBot="1">
      <c r="A25" s="102" t="s">
        <v>27</v>
      </c>
      <c r="B25" s="127">
        <f>B18</f>
        <v>333159.1</v>
      </c>
      <c r="C25" s="127">
        <f>C18</f>
        <v>406096.89999999997</v>
      </c>
      <c r="D25" s="127">
        <f>D18</f>
        <v>296152.9000000001</v>
      </c>
      <c r="E25" s="106">
        <f>D25/D18*100</f>
        <v>100</v>
      </c>
      <c r="F25" s="106">
        <f t="shared" si="3"/>
        <v>88.89233402299385</v>
      </c>
      <c r="G25" s="106">
        <f t="shared" si="0"/>
        <v>72.92665863738435</v>
      </c>
      <c r="H25" s="104">
        <f t="shared" si="2"/>
        <v>37006.199999999895</v>
      </c>
      <c r="I25" s="104">
        <f t="shared" si="1"/>
        <v>109943.99999999988</v>
      </c>
      <c r="J25" s="166"/>
      <c r="K25" s="153"/>
    </row>
    <row r="26" spans="1:11" ht="57" hidden="1" thickBot="1">
      <c r="A26" s="74" t="s">
        <v>69</v>
      </c>
      <c r="B26" s="36"/>
      <c r="C26" s="36"/>
      <c r="D26" s="36"/>
      <c r="E26" s="1"/>
      <c r="F26" s="1" t="e">
        <f t="shared" si="3"/>
        <v>#DIV/0!</v>
      </c>
      <c r="G26" s="1" t="e">
        <f t="shared" si="0"/>
        <v>#DIV/0!</v>
      </c>
      <c r="H26" s="37">
        <f t="shared" si="2"/>
        <v>0</v>
      </c>
      <c r="I26" s="37">
        <f t="shared" si="1"/>
        <v>0</v>
      </c>
      <c r="J26" s="166"/>
      <c r="K26" s="153">
        <f aca="true" t="shared" si="4" ref="K26:K32">C26-B26</f>
        <v>0</v>
      </c>
    </row>
    <row r="27" spans="1:11" ht="36.75" customHeight="1" hidden="1">
      <c r="A27" s="74" t="s">
        <v>70</v>
      </c>
      <c r="B27" s="36"/>
      <c r="C27" s="36"/>
      <c r="D27" s="36"/>
      <c r="E27" s="1"/>
      <c r="F27" s="1" t="e">
        <f t="shared" si="3"/>
        <v>#DIV/0!</v>
      </c>
      <c r="G27" s="1" t="e">
        <f t="shared" si="0"/>
        <v>#DIV/0!</v>
      </c>
      <c r="H27" s="37">
        <f t="shared" si="2"/>
        <v>0</v>
      </c>
      <c r="I27" s="37">
        <f t="shared" si="1"/>
        <v>0</v>
      </c>
      <c r="J27" s="166"/>
      <c r="K27" s="153">
        <f t="shared" si="4"/>
        <v>0</v>
      </c>
    </row>
    <row r="28" spans="1:11" ht="19.5" hidden="1" thickBot="1">
      <c r="A28" s="74" t="s">
        <v>71</v>
      </c>
      <c r="B28" s="36"/>
      <c r="C28" s="36"/>
      <c r="D28" s="36"/>
      <c r="E28" s="1"/>
      <c r="F28" s="1" t="e">
        <f t="shared" si="3"/>
        <v>#DIV/0!</v>
      </c>
      <c r="G28" s="1" t="e">
        <f t="shared" si="0"/>
        <v>#DIV/0!</v>
      </c>
      <c r="H28" s="37">
        <f t="shared" si="2"/>
        <v>0</v>
      </c>
      <c r="I28" s="37">
        <f t="shared" si="1"/>
        <v>0</v>
      </c>
      <c r="J28" s="166"/>
      <c r="K28" s="153">
        <f t="shared" si="4"/>
        <v>0</v>
      </c>
    </row>
    <row r="29" spans="1:11" ht="39.75" customHeight="1" hidden="1">
      <c r="A29" s="74" t="s">
        <v>72</v>
      </c>
      <c r="B29" s="36"/>
      <c r="C29" s="36"/>
      <c r="D29" s="36"/>
      <c r="E29" s="1"/>
      <c r="F29" s="1" t="e">
        <f t="shared" si="3"/>
        <v>#DIV/0!</v>
      </c>
      <c r="G29" s="1" t="e">
        <f t="shared" si="0"/>
        <v>#DIV/0!</v>
      </c>
      <c r="H29" s="37">
        <f t="shared" si="2"/>
        <v>0</v>
      </c>
      <c r="I29" s="37">
        <f t="shared" si="1"/>
        <v>0</v>
      </c>
      <c r="J29" s="166"/>
      <c r="K29" s="153">
        <f t="shared" si="4"/>
        <v>0</v>
      </c>
    </row>
    <row r="30" spans="1:11" ht="37.5" customHeight="1" hidden="1">
      <c r="A30" s="74" t="s">
        <v>73</v>
      </c>
      <c r="B30" s="36"/>
      <c r="C30" s="36"/>
      <c r="D30" s="36"/>
      <c r="E30" s="1"/>
      <c r="F30" s="1" t="e">
        <f>D30/B30*100</f>
        <v>#DIV/0!</v>
      </c>
      <c r="G30" s="1" t="e">
        <f t="shared" si="0"/>
        <v>#DIV/0!</v>
      </c>
      <c r="H30" s="37">
        <f t="shared" si="2"/>
        <v>0</v>
      </c>
      <c r="I30" s="37">
        <f t="shared" si="1"/>
        <v>0</v>
      </c>
      <c r="J30" s="166"/>
      <c r="K30" s="153">
        <f t="shared" si="4"/>
        <v>0</v>
      </c>
    </row>
    <row r="31" spans="1:11" ht="36" customHeight="1" hidden="1">
      <c r="A31" s="74" t="s">
        <v>74</v>
      </c>
      <c r="B31" s="36"/>
      <c r="C31" s="36"/>
      <c r="D31" s="36"/>
      <c r="E31" s="1"/>
      <c r="F31" s="1" t="e">
        <f t="shared" si="3"/>
        <v>#DIV/0!</v>
      </c>
      <c r="G31" s="1" t="e">
        <f t="shared" si="0"/>
        <v>#DIV/0!</v>
      </c>
      <c r="H31" s="37">
        <f t="shared" si="2"/>
        <v>0</v>
      </c>
      <c r="I31" s="37">
        <f t="shared" si="1"/>
        <v>0</v>
      </c>
      <c r="J31" s="166"/>
      <c r="K31" s="153">
        <f t="shared" si="4"/>
        <v>0</v>
      </c>
    </row>
    <row r="32" spans="1:11" ht="19.5" hidden="1" thickBot="1">
      <c r="A32" s="74" t="s">
        <v>75</v>
      </c>
      <c r="B32" s="36"/>
      <c r="C32" s="36"/>
      <c r="D32" s="36"/>
      <c r="E32" s="1"/>
      <c r="F32" s="1" t="e">
        <f t="shared" si="3"/>
        <v>#DIV/0!</v>
      </c>
      <c r="G32" s="1" t="e">
        <f t="shared" si="0"/>
        <v>#DIV/0!</v>
      </c>
      <c r="H32" s="37">
        <f t="shared" si="2"/>
        <v>0</v>
      </c>
      <c r="I32" s="37">
        <f t="shared" si="1"/>
        <v>0</v>
      </c>
      <c r="J32" s="166"/>
      <c r="K32" s="153">
        <f t="shared" si="4"/>
        <v>0</v>
      </c>
    </row>
    <row r="33" spans="1:11" ht="18.75" thickBot="1">
      <c r="A33" s="20" t="s">
        <v>17</v>
      </c>
      <c r="B33" s="38">
        <f>20177.6+27.7</f>
        <v>20205.3</v>
      </c>
      <c r="C33" s="39">
        <f>24805.1-17.2+81.6</f>
        <v>24869.499999999996</v>
      </c>
      <c r="D33" s="42">
        <f>364.6+44.8+35.8+191.3+646.1+25.1+164.7+15+5.1+531+54.3+2.5+15.8+202.7+1.6+22.1+596.2+14.1+123.8+80.3+68.1+398.3+3.2+1+245+165.3+2.5+39.5+65.7+27.9+573.9+1.9+0.6+146.1+99.2+229.7+391.3+99.3+10.1+208.5+7.9+36.6+46.5+37.2-7.8+517.8+32.8+235.6+79.5+17+39.8+858.1+84.1+192+45+1.8+54.3+18+6.8+727.8+89.8+223.2+75.2+12.1+0.9+28.4+36.6+467.8+30+177.9+3.2+44.2+36.1+42.8+662.9+45.8+153.2+95.1+201.6+8.9+10.4+89.8+488.7+19+6.2+185.8+0.6+16.9+1+24.9+624.5+95.1+221.7+9.9+0.4+9+13+10.6+419.4+2.8+161.5+36.6+25.1+17.6+9.1+600.6+13.5+30+317.5+203+26.4+336.5+22.9+137.2+211.7+90.6+2.4+18.1+542.3+510.4+450.2</f>
        <v>17393.400000000005</v>
      </c>
      <c r="E33" s="3">
        <f>D33/D154*100</f>
        <v>1.1634227963685029</v>
      </c>
      <c r="F33" s="3">
        <f>D33/B33*100</f>
        <v>86.08335436741848</v>
      </c>
      <c r="G33" s="3">
        <f t="shared" si="0"/>
        <v>69.93867990912567</v>
      </c>
      <c r="H33" s="40">
        <f t="shared" si="2"/>
        <v>2811.899999999994</v>
      </c>
      <c r="I33" s="40">
        <f t="shared" si="1"/>
        <v>7476.099999999991</v>
      </c>
      <c r="J33" s="169"/>
      <c r="K33" s="153"/>
    </row>
    <row r="34" spans="1:11" s="93" customFormat="1" ht="18">
      <c r="A34" s="102" t="s">
        <v>3</v>
      </c>
      <c r="B34" s="126">
        <v>10871.7</v>
      </c>
      <c r="C34" s="127">
        <f>12906.6+40</f>
        <v>12946.6</v>
      </c>
      <c r="D34" s="104">
        <f>364.6+548.1+389.3+522.2+63+395+556.7+63+391.3+512.8+63+394.6+664.3+89.8+0.3+456.7+632.3+12+89.8+485+19+3.6+623.1+89.8+9.9+419.4+475.8+71.8+336.5+18.5+2.5+155.1+372.7</f>
        <v>9291.500000000002</v>
      </c>
      <c r="E34" s="106">
        <f>D34/D33*100</f>
        <v>53.41968792760472</v>
      </c>
      <c r="F34" s="106">
        <f t="shared" si="3"/>
        <v>85.4650146711186</v>
      </c>
      <c r="G34" s="106">
        <f t="shared" si="0"/>
        <v>71.76787728052155</v>
      </c>
      <c r="H34" s="104">
        <f t="shared" si="2"/>
        <v>1580.199999999999</v>
      </c>
      <c r="I34" s="104">
        <f t="shared" si="1"/>
        <v>3655.0999999999985</v>
      </c>
      <c r="J34" s="166"/>
      <c r="K34" s="153"/>
    </row>
    <row r="35" spans="1:11" s="93" customFormat="1" ht="18">
      <c r="A35" s="102" t="s">
        <v>1</v>
      </c>
      <c r="B35" s="126">
        <v>59.6</v>
      </c>
      <c r="C35" s="127">
        <v>81.1</v>
      </c>
      <c r="D35" s="104">
        <f>6.8+8.7+11.6+32.5</f>
        <v>59.6</v>
      </c>
      <c r="E35" s="106">
        <f>D35/D33*100</f>
        <v>0.34265870962549005</v>
      </c>
      <c r="F35" s="106">
        <f t="shared" si="3"/>
        <v>100</v>
      </c>
      <c r="G35" s="106">
        <f t="shared" si="0"/>
        <v>73.48951911220716</v>
      </c>
      <c r="H35" s="104">
        <f t="shared" si="2"/>
        <v>0</v>
      </c>
      <c r="I35" s="104">
        <f t="shared" si="1"/>
        <v>21.499999999999993</v>
      </c>
      <c r="J35" s="166"/>
      <c r="K35" s="153"/>
    </row>
    <row r="36" spans="1:11" s="93" customFormat="1" ht="18">
      <c r="A36" s="102" t="s">
        <v>0</v>
      </c>
      <c r="B36" s="126">
        <f>1155.9+27.7</f>
        <v>1183.6000000000001</v>
      </c>
      <c r="C36" s="127">
        <v>1783</v>
      </c>
      <c r="D36" s="104">
        <f>0.3+11.3+141.7+12.6+0.9+12.9+1.3+0.5+169.4+1.1+0.1+0.4+11.3+166.1+3.8+5.1+2.9+0.2+0.5+11.9+319.9+44.3+12.2+0.9-0.2+8.4+29.5+8.6+0.2+7.6+0.4+4.3+0.1+0.3+7.8+4.8+0.2+5.5+2.5+0.2+2.6+6.1</f>
        <v>1020.4999999999999</v>
      </c>
      <c r="E36" s="106">
        <f>D36/D33*100</f>
        <v>5.867168006255244</v>
      </c>
      <c r="F36" s="106">
        <f t="shared" si="3"/>
        <v>86.2200067590402</v>
      </c>
      <c r="G36" s="106">
        <f t="shared" si="0"/>
        <v>57.23499719573751</v>
      </c>
      <c r="H36" s="104">
        <f t="shared" si="2"/>
        <v>163.10000000000025</v>
      </c>
      <c r="I36" s="104">
        <f t="shared" si="1"/>
        <v>762.5000000000001</v>
      </c>
      <c r="J36" s="166"/>
      <c r="K36" s="153"/>
    </row>
    <row r="37" spans="1:12" s="94" customFormat="1" ht="18.75">
      <c r="A37" s="117" t="s">
        <v>7</v>
      </c>
      <c r="B37" s="137">
        <v>766.6</v>
      </c>
      <c r="C37" s="138">
        <v>1008</v>
      </c>
      <c r="D37" s="108">
        <f>44.8+25.1+1.6+0.5+2.7+1+6.3+8.5+2.5+36.6+1.5+4.5+23.6+4.1+106.1+32.6+9.7+2.5+4.3+1.9+2.2+5.9+0.2+124.8+6.7+179.9+41.5+2.4+6.3+14.7</f>
        <v>704.9999999999999</v>
      </c>
      <c r="E37" s="112">
        <f>D37/D33*100</f>
        <v>4.05326158197937</v>
      </c>
      <c r="F37" s="112">
        <f t="shared" si="3"/>
        <v>91.96451865379596</v>
      </c>
      <c r="G37" s="112">
        <f t="shared" si="0"/>
        <v>69.94047619047618</v>
      </c>
      <c r="H37" s="108">
        <f t="shared" si="2"/>
        <v>61.600000000000136</v>
      </c>
      <c r="I37" s="108">
        <f t="shared" si="1"/>
        <v>303.0000000000001</v>
      </c>
      <c r="J37" s="168"/>
      <c r="K37" s="153"/>
      <c r="L37" s="139"/>
    </row>
    <row r="38" spans="1:11" s="93" customFormat="1" ht="18">
      <c r="A38" s="102" t="s">
        <v>14</v>
      </c>
      <c r="B38" s="126">
        <v>39.3</v>
      </c>
      <c r="C38" s="127">
        <f>80.8+8.7</f>
        <v>89.5</v>
      </c>
      <c r="D38" s="127">
        <f>5.1+5.1+5.1+5.1+5.1+8.7</f>
        <v>34.2</v>
      </c>
      <c r="E38" s="106">
        <f>D38/D33*100</f>
        <v>0.1966263065300631</v>
      </c>
      <c r="F38" s="106">
        <f t="shared" si="3"/>
        <v>87.02290076335879</v>
      </c>
      <c r="G38" s="106">
        <f t="shared" si="0"/>
        <v>38.2122905027933</v>
      </c>
      <c r="H38" s="104">
        <f t="shared" si="2"/>
        <v>5.099999999999994</v>
      </c>
      <c r="I38" s="104">
        <f t="shared" si="1"/>
        <v>55.3</v>
      </c>
      <c r="J38" s="166"/>
      <c r="K38" s="153"/>
    </row>
    <row r="39" spans="1:11" s="93" customFormat="1" ht="18.75" thickBot="1">
      <c r="A39" s="102" t="s">
        <v>27</v>
      </c>
      <c r="B39" s="126">
        <f>B33-B34-B36-B37-B35-B38</f>
        <v>7284.499999999997</v>
      </c>
      <c r="C39" s="126">
        <f>C33-C34-C36-C37-C35-C38</f>
        <v>8961.299999999996</v>
      </c>
      <c r="D39" s="126">
        <f>D33-D34-D36-D37-D35-D38</f>
        <v>6282.600000000003</v>
      </c>
      <c r="E39" s="106">
        <f>D39/D33*100</f>
        <v>36.12059746800511</v>
      </c>
      <c r="F39" s="106">
        <f t="shared" si="3"/>
        <v>86.24613906239283</v>
      </c>
      <c r="G39" s="106">
        <f t="shared" si="0"/>
        <v>70.10813163268729</v>
      </c>
      <c r="H39" s="104">
        <f>B39-D39</f>
        <v>1001.8999999999942</v>
      </c>
      <c r="I39" s="104">
        <f t="shared" si="1"/>
        <v>2678.6999999999925</v>
      </c>
      <c r="J39" s="166"/>
      <c r="K39" s="153"/>
    </row>
    <row r="40" spans="1:11" ht="19.5" hidden="1" thickBot="1">
      <c r="A40" s="74" t="s">
        <v>66</v>
      </c>
      <c r="B40" s="75"/>
      <c r="C40" s="75"/>
      <c r="D40" s="75"/>
      <c r="E40" s="73"/>
      <c r="F40" s="73" t="e">
        <f t="shared" si="3"/>
        <v>#DIV/0!</v>
      </c>
      <c r="G40" s="73" t="e">
        <f t="shared" si="0"/>
        <v>#DIV/0!</v>
      </c>
      <c r="H40" s="79">
        <f>B40-D40</f>
        <v>0</v>
      </c>
      <c r="I40" s="79">
        <f t="shared" si="1"/>
        <v>0</v>
      </c>
      <c r="J40" s="166"/>
      <c r="K40" s="153">
        <f>C40-B40</f>
        <v>0</v>
      </c>
    </row>
    <row r="41" spans="1:11" ht="19.5" hidden="1" thickBot="1">
      <c r="A41" s="74" t="s">
        <v>67</v>
      </c>
      <c r="B41" s="75"/>
      <c r="C41" s="75"/>
      <c r="D41" s="75"/>
      <c r="E41" s="73"/>
      <c r="F41" s="73" t="e">
        <f t="shared" si="3"/>
        <v>#DIV/0!</v>
      </c>
      <c r="G41" s="73" t="e">
        <f t="shared" si="0"/>
        <v>#DIV/0!</v>
      </c>
      <c r="H41" s="79">
        <f>B41-D41</f>
        <v>0</v>
      </c>
      <c r="I41" s="79">
        <f t="shared" si="1"/>
        <v>0</v>
      </c>
      <c r="J41" s="166"/>
      <c r="K41" s="153">
        <f>C41-B41</f>
        <v>0</v>
      </c>
    </row>
    <row r="42" spans="1:11" ht="19.5" hidden="1" thickBot="1">
      <c r="A42" s="74" t="s">
        <v>68</v>
      </c>
      <c r="B42" s="75"/>
      <c r="C42" s="75"/>
      <c r="D42" s="75"/>
      <c r="E42" s="73"/>
      <c r="F42" s="73"/>
      <c r="G42" s="73" t="e">
        <f t="shared" si="0"/>
        <v>#DIV/0!</v>
      </c>
      <c r="H42" s="79">
        <f>B42-D42</f>
        <v>0</v>
      </c>
      <c r="I42" s="79">
        <f t="shared" si="1"/>
        <v>0</v>
      </c>
      <c r="J42" s="166"/>
      <c r="K42" s="153">
        <f>C42-B42</f>
        <v>0</v>
      </c>
    </row>
    <row r="43" spans="1:11" ht="19.5" thickBot="1">
      <c r="A43" s="12" t="s">
        <v>16</v>
      </c>
      <c r="B43" s="76">
        <v>1293.5</v>
      </c>
      <c r="C43" s="39">
        <f>1126.9+467</f>
        <v>1593.9</v>
      </c>
      <c r="D43" s="40">
        <f>63.9+1.1+0.6+70.8+0.5+48+6.7+2+13.7+10.4+20.2+0.7+37.4+27+181.7+0.2+2.1+7.5+10+0.2+3.3+24.2+12.6+1.5+22+2.4+8+14.4+3.9+1.2+1.7+0.1</f>
        <v>600</v>
      </c>
      <c r="E43" s="3">
        <f>D43/D154*100</f>
        <v>0.04013325041803796</v>
      </c>
      <c r="F43" s="3">
        <f>D43/B43*100</f>
        <v>46.38577502899111</v>
      </c>
      <c r="G43" s="3">
        <f t="shared" si="0"/>
        <v>37.64351590438547</v>
      </c>
      <c r="H43" s="40">
        <f t="shared" si="2"/>
        <v>693.5</v>
      </c>
      <c r="I43" s="40">
        <f t="shared" si="1"/>
        <v>993.9000000000001</v>
      </c>
      <c r="J43" s="166"/>
      <c r="K43" s="153"/>
    </row>
    <row r="44" spans="1:11" ht="12" customHeight="1" thickBot="1">
      <c r="A44" s="23"/>
      <c r="B44" s="46"/>
      <c r="C44" s="47"/>
      <c r="D44" s="48"/>
      <c r="E44" s="7"/>
      <c r="F44" s="7"/>
      <c r="G44" s="7"/>
      <c r="H44" s="48"/>
      <c r="I44" s="48"/>
      <c r="J44" s="166"/>
      <c r="K44" s="153"/>
    </row>
    <row r="45" spans="1:11" ht="18.75" thickBot="1">
      <c r="A45" s="20" t="s">
        <v>44</v>
      </c>
      <c r="B45" s="38">
        <v>11184.3</v>
      </c>
      <c r="C45" s="39">
        <v>13576.3</v>
      </c>
      <c r="D45" s="40">
        <f>237.1+562.8+52.3+349.2+679.9+375.9+891+78.3+327.4+13.5+670.2+386.5+179.9+781.7-0.1+25.5+366.5+16.5+692.2+3.8+389.3+707.6+15.1+379.9+4.5+611.9+360.8+661.9+337.6</f>
        <v>10158.699999999999</v>
      </c>
      <c r="E45" s="3">
        <f>D45/D154*100</f>
        <v>0.6795027517028704</v>
      </c>
      <c r="F45" s="3">
        <f>D45/B45*100</f>
        <v>90.83000277174253</v>
      </c>
      <c r="G45" s="3">
        <f aca="true" t="shared" si="5" ref="G45:G76">D45/C45*100</f>
        <v>74.82672009310342</v>
      </c>
      <c r="H45" s="40">
        <f>B45-D45</f>
        <v>1025.6000000000004</v>
      </c>
      <c r="I45" s="40">
        <f aca="true" t="shared" si="6" ref="I45:I77">C45-D45</f>
        <v>3417.6000000000004</v>
      </c>
      <c r="J45" s="166"/>
      <c r="K45" s="153"/>
    </row>
    <row r="46" spans="1:11" s="93" customFormat="1" ht="18">
      <c r="A46" s="102" t="s">
        <v>3</v>
      </c>
      <c r="B46" s="126">
        <v>10237.9</v>
      </c>
      <c r="C46" s="127">
        <v>12256.4</v>
      </c>
      <c r="D46" s="104">
        <f>237.1+551.8+334.1+652.5+314.7+746.1+319.2+661.7+342.8+781.7+0.2-0.1+366.5+692.2+367.7+697.1+14.1+359.1+599.6+318.9+654.8+315</f>
        <v>9326.8</v>
      </c>
      <c r="E46" s="106">
        <f>D46/D45*100</f>
        <v>91.81096006378769</v>
      </c>
      <c r="F46" s="106">
        <f aca="true" t="shared" si="7" ref="F46:F74">D46/B46*100</f>
        <v>91.10071401361607</v>
      </c>
      <c r="G46" s="106">
        <f t="shared" si="5"/>
        <v>76.09738585555301</v>
      </c>
      <c r="H46" s="104">
        <f aca="true" t="shared" si="8" ref="H46:H74">B46-D46</f>
        <v>911.1000000000004</v>
      </c>
      <c r="I46" s="104">
        <f t="shared" si="6"/>
        <v>2929.6000000000004</v>
      </c>
      <c r="J46" s="166"/>
      <c r="K46" s="153"/>
    </row>
    <row r="47" spans="1:11" s="93" customFormat="1" ht="18">
      <c r="A47" s="102" t="s">
        <v>2</v>
      </c>
      <c r="B47" s="126">
        <v>0.8</v>
      </c>
      <c r="C47" s="127">
        <v>1.5</v>
      </c>
      <c r="D47" s="104">
        <f>0.7</f>
        <v>0.7</v>
      </c>
      <c r="E47" s="106">
        <f>D47/D45*100</f>
        <v>0.0068906454566037</v>
      </c>
      <c r="F47" s="106">
        <f t="shared" si="7"/>
        <v>87.49999999999999</v>
      </c>
      <c r="G47" s="106">
        <f t="shared" si="5"/>
        <v>46.666666666666664</v>
      </c>
      <c r="H47" s="104">
        <f t="shared" si="8"/>
        <v>0.10000000000000009</v>
      </c>
      <c r="I47" s="104">
        <f t="shared" si="6"/>
        <v>0.8</v>
      </c>
      <c r="J47" s="166"/>
      <c r="K47" s="153"/>
    </row>
    <row r="48" spans="1:11" s="93" customFormat="1" ht="18">
      <c r="A48" s="102" t="s">
        <v>1</v>
      </c>
      <c r="B48" s="126">
        <v>68.2</v>
      </c>
      <c r="C48" s="127">
        <v>98.9</v>
      </c>
      <c r="D48" s="104">
        <f>5.7+6.1+6.5+7.7+8.4+7+0.1+8.9</f>
        <v>50.4</v>
      </c>
      <c r="E48" s="106">
        <f>D48/D45*100</f>
        <v>0.4961264728754664</v>
      </c>
      <c r="F48" s="106">
        <f t="shared" si="7"/>
        <v>73.90029325513196</v>
      </c>
      <c r="G48" s="106">
        <f t="shared" si="5"/>
        <v>50.96056622851365</v>
      </c>
      <c r="H48" s="104">
        <f t="shared" si="8"/>
        <v>17.800000000000004</v>
      </c>
      <c r="I48" s="104">
        <f t="shared" si="6"/>
        <v>48.50000000000001</v>
      </c>
      <c r="J48" s="166"/>
      <c r="K48" s="153"/>
    </row>
    <row r="49" spans="1:11" s="93" customFormat="1" ht="18">
      <c r="A49" s="102" t="s">
        <v>0</v>
      </c>
      <c r="B49" s="126">
        <v>594.9</v>
      </c>
      <c r="C49" s="127">
        <v>879.8</v>
      </c>
      <c r="D49" s="104">
        <f>7.3+51.9+12.7-0.1+54.5+131.2+49.5+2.4+7.9+11.2+178.3+0.4+4.1+0.1+0.6+1.4+0.5+0.8+4.5+4.5+1+5+1.4</f>
        <v>531.0999999999999</v>
      </c>
      <c r="E49" s="106">
        <f>D49/D45*100</f>
        <v>5.2280311457174635</v>
      </c>
      <c r="F49" s="106">
        <f t="shared" si="7"/>
        <v>89.27550848882164</v>
      </c>
      <c r="G49" s="106">
        <f t="shared" si="5"/>
        <v>60.36599227097067</v>
      </c>
      <c r="H49" s="104">
        <f t="shared" si="8"/>
        <v>63.80000000000007</v>
      </c>
      <c r="I49" s="104">
        <f t="shared" si="6"/>
        <v>348.70000000000005</v>
      </c>
      <c r="J49" s="166"/>
      <c r="K49" s="153"/>
    </row>
    <row r="50" spans="1:11" s="93" customFormat="1" ht="18.75" thickBot="1">
      <c r="A50" s="102" t="s">
        <v>27</v>
      </c>
      <c r="B50" s="127">
        <f>B45-B46-B49-B48-B47</f>
        <v>282.49999999999966</v>
      </c>
      <c r="C50" s="127">
        <f>C45-C46-C49-C48-C47</f>
        <v>339.6999999999997</v>
      </c>
      <c r="D50" s="127">
        <f>D45-D46-D49-D48-D47</f>
        <v>249.69999999999973</v>
      </c>
      <c r="E50" s="106">
        <f>D50/D45*100</f>
        <v>2.4579916721627746</v>
      </c>
      <c r="F50" s="106">
        <f t="shared" si="7"/>
        <v>88.38938053097345</v>
      </c>
      <c r="G50" s="106">
        <f t="shared" si="5"/>
        <v>73.50603473653223</v>
      </c>
      <c r="H50" s="104">
        <f t="shared" si="8"/>
        <v>32.799999999999926</v>
      </c>
      <c r="I50" s="104">
        <f t="shared" si="6"/>
        <v>89.99999999999997</v>
      </c>
      <c r="J50" s="166"/>
      <c r="K50" s="153"/>
    </row>
    <row r="51" spans="1:11" ht="18.75" thickBot="1">
      <c r="A51" s="20" t="s">
        <v>4</v>
      </c>
      <c r="B51" s="38">
        <f>30742.3+124.4</f>
        <v>30866.7</v>
      </c>
      <c r="C51" s="39">
        <f>37135.4+450-426+576.2</f>
        <v>37735.6</v>
      </c>
      <c r="D51" s="40">
        <f>632.9+35.2+911.5+180.2+1+93.6+110+157.4+908.3+5.2+0.4+827.7+156.7+1.3+214.8+344.6+657.7+47.5+111.7+17+80.2+154.3+72.4+1021.3+20+1.6+151.9+235.3+35.5+146.1+691+107.9+33.3+238+37.7+71+37.8+19.8+902.5+194.8+199.5+143+723+110+244.1+18+99.6+73.3+122.1+1165+12.1-0.2+100+18.9+1485.3+8.9+39.9-0.1+13.8+4.4+233.8+892+0.2+14.5+53.1+4.7+6.6+3+10.5+814.6+17.2+439+12.3+117.7+250.8+97.8+751.4+316.3+7.6+22+30.7+0.2+429.7+7.4-0.5+8.6+482.9+117.6+13.7+58+9.7+59.5+163.3+551.9+1+7.7+244.3-0.1+848.4+2+140.3+10.4+1785.5+82.3+1010.5</f>
        <v>24377.800000000003</v>
      </c>
      <c r="E51" s="3">
        <f>D51/D154*100</f>
        <v>1.6306005867347433</v>
      </c>
      <c r="F51" s="3">
        <f>D51/B51*100</f>
        <v>78.97766849063879</v>
      </c>
      <c r="G51" s="3">
        <f t="shared" si="5"/>
        <v>64.60159637053606</v>
      </c>
      <c r="H51" s="40">
        <f>B51-D51</f>
        <v>6488.899999999998</v>
      </c>
      <c r="I51" s="40">
        <f t="shared" si="6"/>
        <v>13357.799999999996</v>
      </c>
      <c r="J51" s="166"/>
      <c r="K51" s="153"/>
    </row>
    <row r="52" spans="1:11" s="93" customFormat="1" ht="18">
      <c r="A52" s="102" t="s">
        <v>3</v>
      </c>
      <c r="B52" s="126">
        <v>16585.9</v>
      </c>
      <c r="C52" s="127">
        <f>20097.4+82.2</f>
        <v>20179.600000000002</v>
      </c>
      <c r="D52" s="104">
        <f>632.9+34.3+767.3+737.6+710.6+649.6+792.4+1.6+643.1+825.6+650.1+947+1196.1+785.4+658.1+439+623.6+358.8+550.5+716.3+1140.3+694.7</f>
        <v>14554.9</v>
      </c>
      <c r="E52" s="106">
        <f>D52/D51*100</f>
        <v>59.70555177251433</v>
      </c>
      <c r="F52" s="106">
        <f t="shared" si="7"/>
        <v>87.75465907789145</v>
      </c>
      <c r="G52" s="106">
        <f t="shared" si="5"/>
        <v>72.1268013241095</v>
      </c>
      <c r="H52" s="104">
        <f t="shared" si="8"/>
        <v>2031.0000000000018</v>
      </c>
      <c r="I52" s="104">
        <f t="shared" si="6"/>
        <v>5624.700000000003</v>
      </c>
      <c r="J52" s="166"/>
      <c r="K52" s="153"/>
    </row>
    <row r="53" spans="1:11" s="93" customFormat="1" ht="18">
      <c r="A53" s="102" t="s">
        <v>2</v>
      </c>
      <c r="B53" s="126">
        <v>10.7</v>
      </c>
      <c r="C53" s="127">
        <f>13.9+1.38435</f>
        <v>15.28435</v>
      </c>
      <c r="D53" s="104">
        <v>1</v>
      </c>
      <c r="E53" s="106">
        <f>D53/D51*100</f>
        <v>0.004102092887791351</v>
      </c>
      <c r="F53" s="106">
        <f>D53/B53*100</f>
        <v>9.345794392523366</v>
      </c>
      <c r="G53" s="106">
        <f t="shared" si="5"/>
        <v>6.542640020674742</v>
      </c>
      <c r="H53" s="104">
        <f t="shared" si="8"/>
        <v>9.7</v>
      </c>
      <c r="I53" s="104">
        <f t="shared" si="6"/>
        <v>14.28435</v>
      </c>
      <c r="J53" s="166"/>
      <c r="K53" s="153"/>
    </row>
    <row r="54" spans="1:11" s="93" customFormat="1" ht="18">
      <c r="A54" s="102" t="s">
        <v>1</v>
      </c>
      <c r="B54" s="126">
        <v>869.1</v>
      </c>
      <c r="C54" s="127">
        <f>993.6+100</f>
        <v>1093.6</v>
      </c>
      <c r="D54" s="104">
        <f>0.2+4.2+9+4.7+9.6+6.3+43.2+2.7+18.4+3.8+23.8+5.3+12.2+43.2+26.7+3.8+22.4+0.4+59.7+30.3+3.3+19.2+7+2.9+21+4.4-0.4+4.8+2.2+3.6+32.5+6.4+7.8+23.5+0.7+4.2+10.2+2.2+1.8+2+15.6+1.8+2.2+4.1+5.9+16.2+64.8+35.5</f>
        <v>635.3</v>
      </c>
      <c r="E54" s="106">
        <f>D54/D51*100</f>
        <v>2.6060596116138446</v>
      </c>
      <c r="F54" s="106">
        <f t="shared" si="7"/>
        <v>73.09860775514899</v>
      </c>
      <c r="G54" s="106">
        <f t="shared" si="5"/>
        <v>58.092538405267014</v>
      </c>
      <c r="H54" s="104">
        <f t="shared" si="8"/>
        <v>233.80000000000007</v>
      </c>
      <c r="I54" s="104">
        <f t="shared" si="6"/>
        <v>458.29999999999995</v>
      </c>
      <c r="J54" s="166"/>
      <c r="K54" s="153"/>
    </row>
    <row r="55" spans="1:11" s="93" customFormat="1" ht="18">
      <c r="A55" s="102" t="s">
        <v>0</v>
      </c>
      <c r="B55" s="126">
        <f>824+106.2</f>
        <v>930.2</v>
      </c>
      <c r="C55" s="127">
        <v>1219.9</v>
      </c>
      <c r="D55" s="104">
        <f>0.5+1+2.8+12.3+8.3+0.5+0.4+8.7+15+0.3+1.3+64.9+33.6+8.1+0.1+94.7+0.3+9.8+7.8+0.9+1.8+16.2+18.3+3.3+0.1+11.4+0.1+11.4+1.3+76.9+6.2+11.6+2.1+2.4+24+0.1+0.5+16.3+2.5+1.1+3.8+2.1+10.3+5.8+0.4+0.3+0.3+9.3+0.2+0.6+1.1-0.2+0.5+0.1+1+9.6+1.7+0.2+0.8+20+0.5+1.3</f>
        <v>548.6000000000001</v>
      </c>
      <c r="E55" s="106">
        <f>D55/D51*100</f>
        <v>2.2504081582423354</v>
      </c>
      <c r="F55" s="106">
        <f t="shared" si="7"/>
        <v>58.976564179746305</v>
      </c>
      <c r="G55" s="106">
        <f t="shared" si="5"/>
        <v>44.97089925403722</v>
      </c>
      <c r="H55" s="104">
        <f t="shared" si="8"/>
        <v>381.5999999999999</v>
      </c>
      <c r="I55" s="104">
        <f t="shared" si="6"/>
        <v>671.3</v>
      </c>
      <c r="J55" s="166"/>
      <c r="K55" s="153"/>
    </row>
    <row r="56" spans="1:11" s="93" customFormat="1" ht="18">
      <c r="A56" s="102" t="s">
        <v>14</v>
      </c>
      <c r="B56" s="126">
        <v>1100</v>
      </c>
      <c r="C56" s="127">
        <v>1320</v>
      </c>
      <c r="D56" s="127">
        <f>110+110+110+110+110+110+110+110+110</f>
        <v>990</v>
      </c>
      <c r="E56" s="106">
        <f>D56/D51*100</f>
        <v>4.061071958913437</v>
      </c>
      <c r="F56" s="106">
        <f>D56/B56*100</f>
        <v>90</v>
      </c>
      <c r="G56" s="106">
        <f>D56/C56*100</f>
        <v>75</v>
      </c>
      <c r="H56" s="104">
        <f t="shared" si="8"/>
        <v>110</v>
      </c>
      <c r="I56" s="104">
        <f t="shared" si="6"/>
        <v>330</v>
      </c>
      <c r="J56" s="166"/>
      <c r="K56" s="153"/>
    </row>
    <row r="57" spans="1:11" s="93" customFormat="1" ht="18.75" thickBot="1">
      <c r="A57" s="102" t="s">
        <v>27</v>
      </c>
      <c r="B57" s="127">
        <f>B51-B52-B55-B54-B53-B56</f>
        <v>11370.799999999997</v>
      </c>
      <c r="C57" s="127">
        <f>C51-C52-C55-C54-C53-C56</f>
        <v>13907.215649999996</v>
      </c>
      <c r="D57" s="127">
        <f>D51-D52-D55-D54-D53-D56</f>
        <v>7648.000000000004</v>
      </c>
      <c r="E57" s="106">
        <f>D57/D51*100</f>
        <v>31.372806405828264</v>
      </c>
      <c r="F57" s="106">
        <f t="shared" si="7"/>
        <v>67.25999929644357</v>
      </c>
      <c r="G57" s="106">
        <f t="shared" si="5"/>
        <v>54.9930352162189</v>
      </c>
      <c r="H57" s="104">
        <f>B57-D57</f>
        <v>3722.799999999994</v>
      </c>
      <c r="I57" s="104">
        <f>C57-D57</f>
        <v>6259.215649999993</v>
      </c>
      <c r="J57" s="166"/>
      <c r="K57" s="153"/>
    </row>
    <row r="58" spans="1:11" s="32" customFormat="1" ht="19.5" hidden="1" thickBot="1">
      <c r="A58" s="74" t="s">
        <v>65</v>
      </c>
      <c r="B58" s="72"/>
      <c r="C58" s="72"/>
      <c r="D58" s="72"/>
      <c r="E58" s="1"/>
      <c r="F58" s="73" t="e">
        <f t="shared" si="7"/>
        <v>#DIV/0!</v>
      </c>
      <c r="G58" s="73" t="e">
        <f t="shared" si="5"/>
        <v>#DIV/0!</v>
      </c>
      <c r="H58" s="79">
        <f t="shared" si="8"/>
        <v>0</v>
      </c>
      <c r="I58" s="79">
        <f>C58-D58</f>
        <v>0</v>
      </c>
      <c r="J58" s="168"/>
      <c r="K58" s="153">
        <f>C58-B58</f>
        <v>0</v>
      </c>
    </row>
    <row r="59" spans="1:11" ht="18.75" thickBot="1">
      <c r="A59" s="20" t="s">
        <v>6</v>
      </c>
      <c r="B59" s="38">
        <f>8862+38.1</f>
        <v>8900.1</v>
      </c>
      <c r="C59" s="39">
        <f>9264.2+300+32.4</f>
        <v>9596.6</v>
      </c>
      <c r="D59" s="40">
        <f>87.7+79.1+87.8+43.2+40.5+47.6+13+155.9+18+2.1+84.2+29.6+0.7+0.5+5.7+85.8+109.2+19+38.3+85.7+1.2+4.7+89.8+79.1+0.4+114.1+2.5+187.7+22+17.7+67.3-3+41+50.9+0.1+2.6+120+203+53.7+50+85.8+1.8+136+93.7+2.7+167.9+8.7+0.1+42.3+44.8+283.5+103.6+69.1+2.5+643.4+654+1151+1.2+1073.1+35+47.8+97+9.5+3.6-1.2+238.1+75.5</f>
        <v>7208.9000000000015</v>
      </c>
      <c r="E59" s="3">
        <f>D59/D154*100</f>
        <v>0.4821943148976566</v>
      </c>
      <c r="F59" s="3">
        <f>D59/B59*100</f>
        <v>80.99796631498523</v>
      </c>
      <c r="G59" s="3">
        <f t="shared" si="5"/>
        <v>75.11931309005274</v>
      </c>
      <c r="H59" s="40">
        <f>B59-D59</f>
        <v>1691.199999999999</v>
      </c>
      <c r="I59" s="40">
        <f t="shared" si="6"/>
        <v>2387.699999999999</v>
      </c>
      <c r="J59" s="166"/>
      <c r="K59" s="153"/>
    </row>
    <row r="60" spans="1:11" s="93" customFormat="1" ht="18">
      <c r="A60" s="102" t="s">
        <v>3</v>
      </c>
      <c r="B60" s="126">
        <v>2608.2</v>
      </c>
      <c r="C60" s="127">
        <v>3119.7</v>
      </c>
      <c r="D60" s="104">
        <f>77.7+79.1+76.9+40.5+47.3+155.9+45+29.2+85.8+95.3+38.3+30.7+89.8+79.1+80.7+178.9+50.9+35.4+119.2+73+83.9+167.9+42.3+43+65+68.5+34.6+47.8+164.9+73.8</f>
        <v>2300.4000000000005</v>
      </c>
      <c r="E60" s="106">
        <f>D60/D59*100</f>
        <v>31.910555008392404</v>
      </c>
      <c r="F60" s="106">
        <f t="shared" si="7"/>
        <v>88.19875776397518</v>
      </c>
      <c r="G60" s="106">
        <f t="shared" si="5"/>
        <v>73.73785940955864</v>
      </c>
      <c r="H60" s="104">
        <f t="shared" si="8"/>
        <v>307.7999999999993</v>
      </c>
      <c r="I60" s="104">
        <f t="shared" si="6"/>
        <v>819.2999999999993</v>
      </c>
      <c r="J60" s="166"/>
      <c r="K60" s="153"/>
    </row>
    <row r="61" spans="1:11" s="93" customFormat="1" ht="18">
      <c r="A61" s="102" t="s">
        <v>1</v>
      </c>
      <c r="B61" s="126">
        <v>393.1</v>
      </c>
      <c r="C61" s="127">
        <f>360.7+32.4</f>
        <v>393.09999999999997</v>
      </c>
      <c r="D61" s="104">
        <f>127+93.7+101.3+69.1</f>
        <v>391.1</v>
      </c>
      <c r="E61" s="106">
        <f>D61/D59*100</f>
        <v>5.425238247166695</v>
      </c>
      <c r="F61" s="106">
        <f>D61/B61*100</f>
        <v>99.49122360722463</v>
      </c>
      <c r="G61" s="106">
        <f t="shared" si="5"/>
        <v>99.49122360722464</v>
      </c>
      <c r="H61" s="104">
        <f t="shared" si="8"/>
        <v>2</v>
      </c>
      <c r="I61" s="104">
        <f t="shared" si="6"/>
        <v>1.9999999999999432</v>
      </c>
      <c r="J61" s="166"/>
      <c r="K61" s="153"/>
    </row>
    <row r="62" spans="1:11" s="93" customFormat="1" ht="18">
      <c r="A62" s="102" t="s">
        <v>0</v>
      </c>
      <c r="B62" s="126">
        <f>253.5+38.1</f>
        <v>291.6</v>
      </c>
      <c r="C62" s="127">
        <v>393.7</v>
      </c>
      <c r="D62" s="104">
        <f>10.9+43.2+13-3+39.2+5.7+50.2+3.5+0.2+29.7+2.5+1.8+22+0.1+0.7+2.1+0.1+0.1+2.2+0.1+0.1+2.1+1.2+0.5+0.1+0.6</f>
        <v>228.8999999999999</v>
      </c>
      <c r="E62" s="106">
        <f>D62/D59*100</f>
        <v>3.175241715102163</v>
      </c>
      <c r="F62" s="106">
        <f t="shared" si="7"/>
        <v>78.49794238683123</v>
      </c>
      <c r="G62" s="106">
        <f t="shared" si="5"/>
        <v>58.14071628143254</v>
      </c>
      <c r="H62" s="104">
        <f t="shared" si="8"/>
        <v>62.70000000000013</v>
      </c>
      <c r="I62" s="104">
        <f t="shared" si="6"/>
        <v>164.8000000000001</v>
      </c>
      <c r="J62" s="166"/>
      <c r="K62" s="153"/>
    </row>
    <row r="63" spans="1:11" s="93" customFormat="1" ht="18">
      <c r="A63" s="102" t="s">
        <v>14</v>
      </c>
      <c r="B63" s="126">
        <v>4866.6</v>
      </c>
      <c r="C63" s="127">
        <v>4866.6</v>
      </c>
      <c r="D63" s="104">
        <f>136+283.5+578.4+584+1151+850.5</f>
        <v>3583.4</v>
      </c>
      <c r="E63" s="106">
        <f>D63/D59*100</f>
        <v>49.70799983353909</v>
      </c>
      <c r="F63" s="106">
        <f t="shared" si="7"/>
        <v>73.63251551391114</v>
      </c>
      <c r="G63" s="106">
        <f t="shared" si="5"/>
        <v>73.63251551391114</v>
      </c>
      <c r="H63" s="104">
        <f t="shared" si="8"/>
        <v>1283.2000000000003</v>
      </c>
      <c r="I63" s="104">
        <f t="shared" si="6"/>
        <v>1283.2000000000003</v>
      </c>
      <c r="J63" s="166"/>
      <c r="K63" s="153"/>
    </row>
    <row r="64" spans="1:11" s="93" customFormat="1" ht="18.75" thickBot="1">
      <c r="A64" s="102" t="s">
        <v>27</v>
      </c>
      <c r="B64" s="127">
        <f>B59-B60-B62-B63-B61</f>
        <v>740.5999999999998</v>
      </c>
      <c r="C64" s="127">
        <f>C59-C60-C62-C63-C61</f>
        <v>823.5000000000005</v>
      </c>
      <c r="D64" s="127">
        <f>D59-D60-D62-D63-D61</f>
        <v>705.1000000000012</v>
      </c>
      <c r="E64" s="106">
        <f>D64/D59*100</f>
        <v>9.780965195799652</v>
      </c>
      <c r="F64" s="106">
        <f t="shared" si="7"/>
        <v>95.20658925195805</v>
      </c>
      <c r="G64" s="106">
        <f t="shared" si="5"/>
        <v>85.62234365513063</v>
      </c>
      <c r="H64" s="104">
        <f t="shared" si="8"/>
        <v>35.499999999998636</v>
      </c>
      <c r="I64" s="104">
        <f t="shared" si="6"/>
        <v>118.3999999999993</v>
      </c>
      <c r="J64" s="166"/>
      <c r="K64" s="153"/>
    </row>
    <row r="65" spans="1:11" s="32" customFormat="1" ht="19.5" hidden="1" thickBot="1">
      <c r="A65" s="74" t="s">
        <v>76</v>
      </c>
      <c r="B65" s="72"/>
      <c r="C65" s="72"/>
      <c r="D65" s="72"/>
      <c r="E65" s="73"/>
      <c r="F65" s="73" t="e">
        <f>D65/B65*100</f>
        <v>#DIV/0!</v>
      </c>
      <c r="G65" s="73" t="e">
        <f>D65/C65*100</f>
        <v>#DIV/0!</v>
      </c>
      <c r="H65" s="79">
        <f t="shared" si="8"/>
        <v>0</v>
      </c>
      <c r="I65" s="79">
        <f t="shared" si="6"/>
        <v>0</v>
      </c>
      <c r="J65" s="168"/>
      <c r="K65" s="153">
        <f>C65-B65</f>
        <v>0</v>
      </c>
    </row>
    <row r="66" spans="1:11" s="32" customFormat="1" ht="19.5" hidden="1" thickBot="1">
      <c r="A66" s="74" t="s">
        <v>62</v>
      </c>
      <c r="B66" s="72"/>
      <c r="C66" s="72"/>
      <c r="D66" s="72"/>
      <c r="E66" s="73"/>
      <c r="F66" s="73" t="e">
        <f t="shared" si="7"/>
        <v>#DIV/0!</v>
      </c>
      <c r="G66" s="73" t="e">
        <f t="shared" si="5"/>
        <v>#DIV/0!</v>
      </c>
      <c r="H66" s="79">
        <f t="shared" si="8"/>
        <v>0</v>
      </c>
      <c r="I66" s="79">
        <f t="shared" si="6"/>
        <v>0</v>
      </c>
      <c r="J66" s="168"/>
      <c r="K66" s="153">
        <f>C66-B66</f>
        <v>0</v>
      </c>
    </row>
    <row r="67" spans="1:11" s="32" customFormat="1" ht="19.5" hidden="1" thickBot="1">
      <c r="A67" s="74" t="s">
        <v>63</v>
      </c>
      <c r="B67" s="72"/>
      <c r="C67" s="72"/>
      <c r="D67" s="72"/>
      <c r="E67" s="73"/>
      <c r="F67" s="73" t="e">
        <f t="shared" si="7"/>
        <v>#DIV/0!</v>
      </c>
      <c r="G67" s="73" t="e">
        <f t="shared" si="5"/>
        <v>#DIV/0!</v>
      </c>
      <c r="H67" s="79">
        <f t="shared" si="8"/>
        <v>0</v>
      </c>
      <c r="I67" s="79">
        <f t="shared" si="6"/>
        <v>0</v>
      </c>
      <c r="J67" s="168"/>
      <c r="K67" s="153">
        <f>C67-B67</f>
        <v>0</v>
      </c>
    </row>
    <row r="68" spans="1:11" s="32" customFormat="1" ht="19.5" hidden="1" thickBot="1">
      <c r="A68" s="74" t="s">
        <v>64</v>
      </c>
      <c r="B68" s="72"/>
      <c r="C68" s="72"/>
      <c r="D68" s="72"/>
      <c r="E68" s="73"/>
      <c r="F68" s="73" t="e">
        <f t="shared" si="7"/>
        <v>#DIV/0!</v>
      </c>
      <c r="G68" s="73" t="e">
        <f t="shared" si="5"/>
        <v>#DIV/0!</v>
      </c>
      <c r="H68" s="79">
        <f t="shared" si="8"/>
        <v>0</v>
      </c>
      <c r="I68" s="79">
        <f t="shared" si="6"/>
        <v>0</v>
      </c>
      <c r="J68" s="168"/>
      <c r="K68" s="153">
        <f>C68-B68</f>
        <v>0</v>
      </c>
    </row>
    <row r="69" spans="1:11" ht="18.75" thickBot="1">
      <c r="A69" s="20" t="s">
        <v>20</v>
      </c>
      <c r="B69" s="39">
        <f>B70+B71</f>
        <v>394.26300000000003</v>
      </c>
      <c r="C69" s="39">
        <f>C70+C71</f>
        <v>418</v>
      </c>
      <c r="D69" s="40">
        <f>D70+D71</f>
        <v>227</v>
      </c>
      <c r="E69" s="30">
        <f>D69/D154*100</f>
        <v>0.015183746408157698</v>
      </c>
      <c r="F69" s="3">
        <f>D69/B69*100</f>
        <v>57.575780633739406</v>
      </c>
      <c r="G69" s="3">
        <f t="shared" si="5"/>
        <v>54.30622009569378</v>
      </c>
      <c r="H69" s="40">
        <f>B69-D69</f>
        <v>167.26300000000003</v>
      </c>
      <c r="I69" s="40">
        <f t="shared" si="6"/>
        <v>191</v>
      </c>
      <c r="J69" s="166"/>
      <c r="K69" s="153"/>
    </row>
    <row r="70" spans="1:11" s="93" customFormat="1" ht="18">
      <c r="A70" s="102" t="s">
        <v>8</v>
      </c>
      <c r="B70" s="126">
        <v>226.963</v>
      </c>
      <c r="C70" s="127">
        <f>292.7-53.1-12</f>
        <v>227.6</v>
      </c>
      <c r="D70" s="104">
        <f>169.5+50+6+1.5</f>
        <v>227</v>
      </c>
      <c r="E70" s="106">
        <f>D70/D69*100</f>
        <v>100</v>
      </c>
      <c r="F70" s="106">
        <f t="shared" si="7"/>
        <v>100.01630221666088</v>
      </c>
      <c r="G70" s="106">
        <f t="shared" si="5"/>
        <v>99.73637961335677</v>
      </c>
      <c r="H70" s="104">
        <f t="shared" si="8"/>
        <v>-0.03700000000000614</v>
      </c>
      <c r="I70" s="104">
        <f t="shared" si="6"/>
        <v>0.5999999999999943</v>
      </c>
      <c r="J70" s="166"/>
      <c r="K70" s="153"/>
    </row>
    <row r="71" spans="1:11" s="93" customFormat="1" ht="18.75" thickBot="1">
      <c r="A71" s="102" t="s">
        <v>9</v>
      </c>
      <c r="B71" s="126">
        <v>167.3</v>
      </c>
      <c r="C71" s="127">
        <f>293.1-30-14-37.9+0.1-20.9</f>
        <v>190.4</v>
      </c>
      <c r="D71" s="104">
        <v>0</v>
      </c>
      <c r="E71" s="106">
        <f>D71/D70*100</f>
        <v>0</v>
      </c>
      <c r="F71" s="106">
        <f t="shared" si="7"/>
        <v>0</v>
      </c>
      <c r="G71" s="106">
        <f t="shared" si="5"/>
        <v>0</v>
      </c>
      <c r="H71" s="104">
        <f t="shared" si="8"/>
        <v>167.3</v>
      </c>
      <c r="I71" s="104">
        <f t="shared" si="6"/>
        <v>190.4</v>
      </c>
      <c r="J71" s="166"/>
      <c r="K71" s="153"/>
    </row>
    <row r="72" spans="1:11" ht="38.25" hidden="1" thickBot="1">
      <c r="A72" s="12" t="s">
        <v>41</v>
      </c>
      <c r="B72" s="45"/>
      <c r="C72" s="39">
        <f>C73+C74+C75+C76</f>
        <v>0</v>
      </c>
      <c r="D72" s="39">
        <f>D73+D74+D75+D76</f>
        <v>0</v>
      </c>
      <c r="E72" s="3">
        <f>D72/D154*100</f>
        <v>0</v>
      </c>
      <c r="F72" s="3" t="e">
        <f>D72/B72*100</f>
        <v>#DIV/0!</v>
      </c>
      <c r="G72" s="3" t="e">
        <f t="shared" si="5"/>
        <v>#DIV/0!</v>
      </c>
      <c r="H72" s="40">
        <f>B72-D72</f>
        <v>0</v>
      </c>
      <c r="I72" s="40">
        <f t="shared" si="6"/>
        <v>0</v>
      </c>
      <c r="J72" s="166"/>
      <c r="K72" s="153"/>
    </row>
    <row r="73" spans="1:11" ht="18.75" hidden="1">
      <c r="A73" s="16" t="s">
        <v>45</v>
      </c>
      <c r="B73" s="43"/>
      <c r="C73" s="49"/>
      <c r="D73" s="41"/>
      <c r="E73" s="27" t="e">
        <f>D73/D72*100</f>
        <v>#DIV/0!</v>
      </c>
      <c r="F73" s="1" t="e">
        <f t="shared" si="7"/>
        <v>#DIV/0!</v>
      </c>
      <c r="G73" s="1" t="e">
        <f t="shared" si="5"/>
        <v>#DIV/0!</v>
      </c>
      <c r="H73" s="37">
        <f t="shared" si="8"/>
        <v>0</v>
      </c>
      <c r="I73" s="37">
        <f t="shared" si="6"/>
        <v>0</v>
      </c>
      <c r="J73" s="166"/>
      <c r="K73" s="153"/>
    </row>
    <row r="74" spans="1:11" ht="18.75" hidden="1">
      <c r="A74" s="16" t="s">
        <v>46</v>
      </c>
      <c r="B74" s="43"/>
      <c r="C74" s="49"/>
      <c r="D74" s="41"/>
      <c r="E74" s="27" t="e">
        <f>D74/D72*100</f>
        <v>#DIV/0!</v>
      </c>
      <c r="F74" s="1" t="e">
        <f t="shared" si="7"/>
        <v>#DIV/0!</v>
      </c>
      <c r="G74" s="1" t="e">
        <f t="shared" si="5"/>
        <v>#DIV/0!</v>
      </c>
      <c r="H74" s="37">
        <f t="shared" si="8"/>
        <v>0</v>
      </c>
      <c r="I74" s="37">
        <f t="shared" si="6"/>
        <v>0</v>
      </c>
      <c r="J74" s="166"/>
      <c r="K74" s="153"/>
    </row>
    <row r="75" spans="1:11" ht="18.75" hidden="1">
      <c r="A75" s="22" t="s">
        <v>34</v>
      </c>
      <c r="B75" s="50"/>
      <c r="C75" s="51"/>
      <c r="D75" s="52"/>
      <c r="E75" s="27" t="e">
        <f>D75/D72*100</f>
        <v>#DIV/0!</v>
      </c>
      <c r="F75" s="27"/>
      <c r="G75" s="1" t="e">
        <f t="shared" si="5"/>
        <v>#DIV/0!</v>
      </c>
      <c r="H75" s="37"/>
      <c r="I75" s="37">
        <f t="shared" si="6"/>
        <v>0</v>
      </c>
      <c r="J75" s="166"/>
      <c r="K75" s="153"/>
    </row>
    <row r="76" spans="1:11" ht="19.5" hidden="1" thickBot="1">
      <c r="A76" s="22" t="s">
        <v>42</v>
      </c>
      <c r="B76" s="50"/>
      <c r="C76" s="51"/>
      <c r="D76" s="52"/>
      <c r="E76" s="27" t="e">
        <f>D76/D72*100</f>
        <v>#DIV/0!</v>
      </c>
      <c r="F76" s="27"/>
      <c r="G76" s="1" t="e">
        <f t="shared" si="5"/>
        <v>#DIV/0!</v>
      </c>
      <c r="H76" s="37"/>
      <c r="I76" s="37">
        <f t="shared" si="6"/>
        <v>0</v>
      </c>
      <c r="J76" s="166"/>
      <c r="K76" s="153"/>
    </row>
    <row r="77" spans="1:11" s="32" customFormat="1" ht="19.5" thickBot="1">
      <c r="A77" s="23" t="s">
        <v>13</v>
      </c>
      <c r="B77" s="46">
        <v>1126.7</v>
      </c>
      <c r="C77" s="53">
        <f>17000-13500-1000</f>
        <v>2500</v>
      </c>
      <c r="D77" s="54"/>
      <c r="E77" s="34"/>
      <c r="F77" s="34"/>
      <c r="G77" s="34"/>
      <c r="H77" s="54">
        <f>B77-D77</f>
        <v>1126.7</v>
      </c>
      <c r="I77" s="54">
        <f t="shared" si="6"/>
        <v>2500</v>
      </c>
      <c r="J77" s="168"/>
      <c r="K77" s="153"/>
    </row>
    <row r="78" spans="1:11" ht="8.25" customHeight="1" thickBot="1">
      <c r="A78" s="16"/>
      <c r="B78" s="43"/>
      <c r="C78" s="51"/>
      <c r="D78" s="52"/>
      <c r="E78" s="6"/>
      <c r="F78" s="6"/>
      <c r="G78" s="6"/>
      <c r="H78" s="52"/>
      <c r="I78" s="86"/>
      <c r="J78" s="166"/>
      <c r="K78" s="153"/>
    </row>
    <row r="79" spans="1:11" ht="18.75" customHeight="1" hidden="1" thickBot="1">
      <c r="A79" s="12" t="s">
        <v>56</v>
      </c>
      <c r="B79" s="45"/>
      <c r="C79" s="39"/>
      <c r="D79" s="39"/>
      <c r="E79" s="3">
        <f>D79/D154*100</f>
        <v>0</v>
      </c>
      <c r="F79" s="3" t="e">
        <f>D79/B79*100</f>
        <v>#DIV/0!</v>
      </c>
      <c r="G79" s="3" t="e">
        <f aca="true" t="shared" si="9" ref="G79:G93">D79/C79*100</f>
        <v>#DIV/0!</v>
      </c>
      <c r="H79" s="40">
        <f>B79-D79</f>
        <v>0</v>
      </c>
      <c r="I79" s="40">
        <f aca="true" t="shared" si="10" ref="I79:I93">C79-D79</f>
        <v>0</v>
      </c>
      <c r="J79" s="166"/>
      <c r="K79" s="153"/>
    </row>
    <row r="80" spans="1:11" s="8" customFormat="1" ht="18" hidden="1">
      <c r="A80" s="9" t="s">
        <v>55</v>
      </c>
      <c r="B80" s="55"/>
      <c r="C80" s="36"/>
      <c r="D80" s="37"/>
      <c r="E80" s="71"/>
      <c r="F80" s="1" t="e">
        <f>D80/B80*100</f>
        <v>#DIV/0!</v>
      </c>
      <c r="G80" s="1" t="e">
        <f t="shared" si="9"/>
        <v>#DIV/0!</v>
      </c>
      <c r="H80" s="37">
        <f>B80-D80</f>
        <v>0</v>
      </c>
      <c r="I80" s="37">
        <f t="shared" si="10"/>
        <v>0</v>
      </c>
      <c r="J80" s="170"/>
      <c r="K80" s="153"/>
    </row>
    <row r="81" spans="1:11" s="8" customFormat="1" ht="30.75" hidden="1">
      <c r="A81" s="9" t="s">
        <v>53</v>
      </c>
      <c r="B81" s="55"/>
      <c r="C81" s="36"/>
      <c r="D81" s="37"/>
      <c r="E81" s="71"/>
      <c r="F81" s="1" t="e">
        <f>D81/B81*100</f>
        <v>#DIV/0!</v>
      </c>
      <c r="G81" s="1" t="e">
        <f t="shared" si="9"/>
        <v>#DIV/0!</v>
      </c>
      <c r="H81" s="37">
        <f>B81-D81</f>
        <v>0</v>
      </c>
      <c r="I81" s="37">
        <f t="shared" si="10"/>
        <v>0</v>
      </c>
      <c r="J81" s="170"/>
      <c r="K81" s="153"/>
    </row>
    <row r="82" spans="1:11" s="8" customFormat="1" ht="16.5" customHeight="1" hidden="1">
      <c r="A82" s="9" t="s">
        <v>33</v>
      </c>
      <c r="B82" s="55"/>
      <c r="C82" s="36"/>
      <c r="D82" s="37"/>
      <c r="E82" s="1" t="e">
        <f>D82/D79*100</f>
        <v>#DIV/0!</v>
      </c>
      <c r="F82" s="1"/>
      <c r="G82" s="1" t="e">
        <f t="shared" si="9"/>
        <v>#DIV/0!</v>
      </c>
      <c r="H82" s="37"/>
      <c r="I82" s="37">
        <f t="shared" si="10"/>
        <v>0</v>
      </c>
      <c r="J82" s="170"/>
      <c r="K82" s="153"/>
    </row>
    <row r="83" spans="1:11" s="8" customFormat="1" ht="33" customHeight="1" hidden="1" thickBot="1">
      <c r="A83" s="9" t="s">
        <v>39</v>
      </c>
      <c r="B83" s="55"/>
      <c r="C83" s="36"/>
      <c r="D83" s="36"/>
      <c r="E83" s="1" t="e">
        <f>D83/D79*100</f>
        <v>#DIV/0!</v>
      </c>
      <c r="F83" s="1"/>
      <c r="G83" s="1" t="e">
        <f t="shared" si="9"/>
        <v>#DIV/0!</v>
      </c>
      <c r="H83" s="37"/>
      <c r="I83" s="37">
        <f t="shared" si="10"/>
        <v>0</v>
      </c>
      <c r="J83" s="170"/>
      <c r="K83" s="153"/>
    </row>
    <row r="84" spans="1:11" ht="35.25" customHeight="1" hidden="1" thickBot="1">
      <c r="A84" s="12" t="s">
        <v>35</v>
      </c>
      <c r="B84" s="45"/>
      <c r="C84" s="39"/>
      <c r="D84" s="39"/>
      <c r="E84" s="3">
        <f>D84/D154*100</f>
        <v>0</v>
      </c>
      <c r="F84" s="3"/>
      <c r="G84" s="3" t="e">
        <f t="shared" si="9"/>
        <v>#DIV/0!</v>
      </c>
      <c r="H84" s="40"/>
      <c r="I84" s="40">
        <f t="shared" si="10"/>
        <v>0</v>
      </c>
      <c r="J84" s="166"/>
      <c r="K84" s="153"/>
    </row>
    <row r="85" spans="1:11" ht="16.5" customHeight="1" hidden="1">
      <c r="A85" s="21" t="s">
        <v>23</v>
      </c>
      <c r="B85" s="35"/>
      <c r="C85" s="51"/>
      <c r="D85" s="51"/>
      <c r="E85" s="6" t="e">
        <f>D85/D84*100</f>
        <v>#DIV/0!</v>
      </c>
      <c r="F85" s="6"/>
      <c r="G85" s="6" t="e">
        <f t="shared" si="9"/>
        <v>#DIV/0!</v>
      </c>
      <c r="H85" s="52"/>
      <c r="I85" s="37">
        <f t="shared" si="10"/>
        <v>0</v>
      </c>
      <c r="J85" s="166"/>
      <c r="K85" s="153"/>
    </row>
    <row r="86" spans="1:11" ht="16.5" customHeight="1" hidden="1" thickBot="1">
      <c r="A86" s="21" t="s">
        <v>24</v>
      </c>
      <c r="B86" s="35"/>
      <c r="C86" s="51"/>
      <c r="D86" s="51"/>
      <c r="E86" s="6" t="e">
        <f>D86/D84*100</f>
        <v>#DIV/0!</v>
      </c>
      <c r="F86" s="6"/>
      <c r="G86" s="6" t="e">
        <f t="shared" si="9"/>
        <v>#DIV/0!</v>
      </c>
      <c r="H86" s="52"/>
      <c r="I86" s="37">
        <f t="shared" si="10"/>
        <v>0</v>
      </c>
      <c r="J86" s="166"/>
      <c r="K86" s="153"/>
    </row>
    <row r="87" spans="1:11" ht="34.5" customHeight="1" hidden="1" thickBot="1">
      <c r="A87" s="12" t="s">
        <v>36</v>
      </c>
      <c r="B87" s="45"/>
      <c r="C87" s="39"/>
      <c r="D87" s="39"/>
      <c r="E87" s="3">
        <f>D87/D154*100</f>
        <v>0</v>
      </c>
      <c r="F87" s="3"/>
      <c r="G87" s="3" t="e">
        <f t="shared" si="9"/>
        <v>#DIV/0!</v>
      </c>
      <c r="H87" s="40"/>
      <c r="I87" s="40">
        <f t="shared" si="10"/>
        <v>0</v>
      </c>
      <c r="J87" s="166"/>
      <c r="K87" s="153"/>
    </row>
    <row r="88" spans="1:11" ht="17.25" customHeight="1" hidden="1">
      <c r="A88" s="21" t="s">
        <v>23</v>
      </c>
      <c r="B88" s="35"/>
      <c r="C88" s="36"/>
      <c r="D88" s="37"/>
      <c r="E88" s="1" t="e">
        <f>D88/D87*100</f>
        <v>#DIV/0!</v>
      </c>
      <c r="F88" s="1"/>
      <c r="G88" s="1" t="e">
        <f t="shared" si="9"/>
        <v>#DIV/0!</v>
      </c>
      <c r="H88" s="37"/>
      <c r="I88" s="37">
        <f t="shared" si="10"/>
        <v>0</v>
      </c>
      <c r="J88" s="166"/>
      <c r="K88" s="153"/>
    </row>
    <row r="89" spans="1:11" ht="17.25" customHeight="1" hidden="1" thickBot="1">
      <c r="A89" s="21" t="s">
        <v>24</v>
      </c>
      <c r="B89" s="35"/>
      <c r="C89" s="36"/>
      <c r="D89" s="37"/>
      <c r="E89" s="1" t="e">
        <f>D89/D87*100</f>
        <v>#DIV/0!</v>
      </c>
      <c r="F89" s="1"/>
      <c r="G89" s="1" t="e">
        <f t="shared" si="9"/>
        <v>#DIV/0!</v>
      </c>
      <c r="H89" s="37"/>
      <c r="I89" s="37">
        <f t="shared" si="10"/>
        <v>0</v>
      </c>
      <c r="J89" s="166"/>
      <c r="K89" s="153"/>
    </row>
    <row r="90" spans="1:11" ht="19.5" thickBot="1">
      <c r="A90" s="12" t="s">
        <v>10</v>
      </c>
      <c r="B90" s="45">
        <v>175244.2</v>
      </c>
      <c r="C90" s="39">
        <f>200580.6+2044.4+100+113.7+1216.5</f>
        <v>204055.2</v>
      </c>
      <c r="D90" s="40">
        <f>3076.1+1190.1+85.4+19.6+5.2+812.5+1196.5+4.7+5442.2+898.8+0.6+38.7+164.7+18.3+70.9+29.7+34.8+531.6+4509.6+56.1+8.5+41+4+52+75.9+988.9+757.7+5366.6+3416.7+74.9+86.9+106.7+37+36.4+137.2+104.7+504.5+4467.2+735.6-139.8+245.4+6.3+16.4+85.1+14.8+2.9+33.4+286.5+1716.6+0.1+7562.5+969.1+36+231.6+8.4+31.2+47.3+319.1+2926.4+2260.7+79.3+22.6+68+18.1+80+9.6+46.5+26.3+7704.4+2647.4+0.1+94.7+92.5+193.7+40.4+13.1+65.5+529.9+1306.1+3741.6+51.2+2.9+116.1+201.7+108.9+55.7+3.9+49.9+61.5+11638.8+3609.9+21.9+153+196.5+207.7+83.5+422.8+45.8+67.6+24.3+5644.4+1466.6+1.9+23.8-0.1+75.8+29.5+145.5+35.5+168.2+0.5+8904.5+2446.7+635.4-0.5+322.5+210.1+108.9+144.4+27.6+727.7+3006+2574.2+0.9+10.4+54.6+152.2+203.5+3.5+78.3+1.5+60.6+3414.2+5016.1+1346.4+289.5+159.5+45.5+272.8+6.4+15+651.4+0.1+4.4+20.5+4031.5+1228.8+14.4+48.8+1386+67.5+144.7+15.5+25.5+4.2+2151.2+5814.1+511.4+1.5+496.4+30.3+101.3+14+241+62+596+2209.2+2782.9+33+3.8+29.5+6.9+18.4+25.7+13.2+199.5+8134.6+317.2+122.6+113.6+16.9+75.3+3216</f>
        <v>158562.69999999995</v>
      </c>
      <c r="E90" s="3">
        <f>D90/D154*100</f>
        <v>10.606060910100377</v>
      </c>
      <c r="F90" s="3">
        <f aca="true" t="shared" si="11" ref="F90:F96">D90/B90*100</f>
        <v>90.48099737395015</v>
      </c>
      <c r="G90" s="3">
        <f t="shared" si="9"/>
        <v>77.70578745359096</v>
      </c>
      <c r="H90" s="40">
        <f aca="true" t="shared" si="12" ref="H90:H96">B90-D90</f>
        <v>16681.50000000006</v>
      </c>
      <c r="I90" s="40">
        <f t="shared" si="10"/>
        <v>45492.50000000006</v>
      </c>
      <c r="J90" s="166"/>
      <c r="K90" s="153"/>
    </row>
    <row r="91" spans="1:11" s="93" customFormat="1" ht="21.75" customHeight="1">
      <c r="A91" s="102" t="s">
        <v>3</v>
      </c>
      <c r="B91" s="126">
        <v>163944.6</v>
      </c>
      <c r="C91" s="127">
        <f>190000-46.7</f>
        <v>189953.3</v>
      </c>
      <c r="D91" s="104">
        <f>3071.3+1190.01+77.9+810.1+1179.1+5434.9+841.3+37+143.9+8.8+37.8+16.1+28.3+518.4+4342.6+40+45.8+973+734.6+5248.7+3382.5+52.7+9.8+18.7+6.1+92.1+475.7+4462.8+595+196.7+276.8+1621.4+7206.7+948.5+36+155.6+316.6+2911.1+2188.5+59.6+63.7+64.8+7694.4+2449.7+94.7+2.4+176+19.4+479.7+1306.1+3657.1+112.4+93.9+49.8+6.1+11467.1+3525.9+0.3+153+183+52.5+379.4+5626.9+1226.3+75.8+42.1+13.7+8887.9+2393+635.4-0.5+280.2+118.6+104.1+709.5+2940.2+2536.7+27.1+148.3+134.2+3266+4991.3+1345.8+285.5+155.8+262.1+565.9+4021.2+1139.1+19.7+57.6+141+1947.8+5728.1+511.4+496.4+25+11.9+23.7+513.9+2201.7+2748.7+2.9+27.9+5.7+0.4+8110.6+317.2+103.5+3143.7</f>
        <v>149894.91000000003</v>
      </c>
      <c r="E91" s="106">
        <f>D91/D90*100</f>
        <v>94.53352522377588</v>
      </c>
      <c r="F91" s="106">
        <f t="shared" si="11"/>
        <v>91.43022094048845</v>
      </c>
      <c r="G91" s="106">
        <f t="shared" si="9"/>
        <v>78.91145349936014</v>
      </c>
      <c r="H91" s="104">
        <f t="shared" si="12"/>
        <v>14049.689999999973</v>
      </c>
      <c r="I91" s="104">
        <f t="shared" si="10"/>
        <v>40058.389999999956</v>
      </c>
      <c r="K91" s="153"/>
    </row>
    <row r="92" spans="1:11" s="93" customFormat="1" ht="18">
      <c r="A92" s="102" t="s">
        <v>25</v>
      </c>
      <c r="B92" s="126">
        <v>2081.4</v>
      </c>
      <c r="C92" s="127">
        <v>2776.4</v>
      </c>
      <c r="D92" s="104">
        <f>57.2+3.4+167+1.4+0.3+83.4+86.9+53.1+5.3+4.7+17+71.3+284.2+22.2+4.8+1.6+54.8+7+38.2+1.9+190+51.9+21+0.9+36.9+5.5+20.1+0.9+46.6+43.3-17.3+22+2.1+65.9+0.7+4.5+1+37+52.4+38.3+64.1+5</f>
        <v>1658.5000000000002</v>
      </c>
      <c r="E92" s="106">
        <f>D92/D90*100</f>
        <v>1.0459584757323133</v>
      </c>
      <c r="F92" s="106">
        <f t="shared" si="11"/>
        <v>79.681944844816</v>
      </c>
      <c r="G92" s="106">
        <f t="shared" si="9"/>
        <v>59.735628871920476</v>
      </c>
      <c r="H92" s="104">
        <f t="shared" si="12"/>
        <v>422.89999999999986</v>
      </c>
      <c r="I92" s="104">
        <f t="shared" si="10"/>
        <v>1117.8999999999999</v>
      </c>
      <c r="K92" s="153"/>
    </row>
    <row r="93" spans="1:11" s="93" customFormat="1" ht="18" hidden="1">
      <c r="A93" s="102" t="s">
        <v>14</v>
      </c>
      <c r="B93" s="126"/>
      <c r="C93" s="127"/>
      <c r="D93" s="127"/>
      <c r="E93" s="128">
        <f>D93/D90*100</f>
        <v>0</v>
      </c>
      <c r="F93" s="106"/>
      <c r="G93" s="106" t="e">
        <f t="shared" si="9"/>
        <v>#DIV/0!</v>
      </c>
      <c r="H93" s="104">
        <f t="shared" si="12"/>
        <v>0</v>
      </c>
      <c r="I93" s="104">
        <f t="shared" si="10"/>
        <v>0</v>
      </c>
      <c r="K93" s="153">
        <f aca="true" t="shared" si="13" ref="K93:K101">C93-B93</f>
        <v>0</v>
      </c>
    </row>
    <row r="94" spans="1:11" s="93" customFormat="1" ht="18.75" thickBot="1">
      <c r="A94" s="102" t="s">
        <v>27</v>
      </c>
      <c r="B94" s="127">
        <f>B90-B91-B92-B93</f>
        <v>9218.200000000006</v>
      </c>
      <c r="C94" s="127">
        <f>C90-C91-C92-C93</f>
        <v>11325.500000000024</v>
      </c>
      <c r="D94" s="127">
        <f>D90-D91-D92-D93</f>
        <v>7009.289999999921</v>
      </c>
      <c r="E94" s="106">
        <f>D94/D90*100</f>
        <v>4.4205163004918075</v>
      </c>
      <c r="F94" s="106">
        <f t="shared" si="11"/>
        <v>76.03751274652227</v>
      </c>
      <c r="G94" s="106">
        <f>D94/C94*100</f>
        <v>61.88945300428155</v>
      </c>
      <c r="H94" s="104">
        <f t="shared" si="12"/>
        <v>2208.9100000000853</v>
      </c>
      <c r="I94" s="104">
        <f>C94-D94</f>
        <v>4316.210000000103</v>
      </c>
      <c r="K94" s="153"/>
    </row>
    <row r="95" spans="1:11" ht="18.75">
      <c r="A95" s="82" t="s">
        <v>12</v>
      </c>
      <c r="B95" s="91">
        <f>38068.1-332.8</f>
        <v>37735.299999999996</v>
      </c>
      <c r="C95" s="85">
        <f>46414.5+100+39.4+1153.5-64.6-244.3+39946.8</f>
        <v>87345.3</v>
      </c>
      <c r="D95" s="84">
        <f>627.6+194.6+194.6+1234+510.7+28.2+0.5+182.1+337.6+34.8+102.9+588.2+1248.7+97.9+0.7+344.5+13.1+160.3+129.6+35.4+41.5+435.1+0.1+121.2+1271.9+622+440.2+48.6+182.4+14+90.9+350.8+315.3+126.1+122.7+705.4+253.3+60.7+1714.7+422+91.7+8+228.4+571.5+117.8+450.8+129.8+118.4-519.4+633.2+5.5+617.8+88.3+22.1+129.5+978.2+399.1+49.9+14.4+122.3-0.1+5.9-188.1+140.6+994+5+190.2+486+611.6+390.6+222.5+462.3+128.1+21.2+417.6+33.2+178.4+166.2+447+459.1+371.8+167.1+3.3+427.3+895.7+126.1+48.3+729.5+1007.4+38.7+98.7+284.7+242.7+541.8+85.7+94.9+1.8+448.7+305.1+649.5+274.8-124.1+719.7+249.3+22</f>
        <v>30544</v>
      </c>
      <c r="E95" s="81">
        <f>D95/D154*100</f>
        <v>2.0430500012809194</v>
      </c>
      <c r="F95" s="83">
        <f t="shared" si="11"/>
        <v>80.9427777174158</v>
      </c>
      <c r="G95" s="80">
        <f>D95/C95*100</f>
        <v>34.96925421287694</v>
      </c>
      <c r="H95" s="84">
        <f t="shared" si="12"/>
        <v>7191.299999999996</v>
      </c>
      <c r="I95" s="87">
        <f>C95-D95</f>
        <v>56801.3</v>
      </c>
      <c r="J95" s="166"/>
      <c r="K95" s="153"/>
    </row>
    <row r="96" spans="1:11" s="93" customFormat="1" ht="18.75" thickBot="1">
      <c r="A96" s="129" t="s">
        <v>83</v>
      </c>
      <c r="B96" s="130">
        <v>10039.1</v>
      </c>
      <c r="C96" s="131">
        <v>12814.2</v>
      </c>
      <c r="D96" s="132">
        <f>194.6+1234+3.4+0.5+79.6+1026.4+0.7+86.4+939.3+4.2+87.7+624.7+8+489.4+90.3+1.9+597.9+5.5+67.2+2.1+31.9+0.2+90.5+32.4+530.2+66+90.3+454.6+5.4+212.8+729.6+32.4+38.7+3.5+1+0.1+88.2+719.7+5.7</f>
        <v>8676.999999999998</v>
      </c>
      <c r="E96" s="133">
        <f>D96/D95*100</f>
        <v>28.408198009429015</v>
      </c>
      <c r="F96" s="134">
        <f t="shared" si="11"/>
        <v>86.432050681834</v>
      </c>
      <c r="G96" s="135">
        <f>D96/C96*100</f>
        <v>67.71394234521077</v>
      </c>
      <c r="H96" s="136">
        <f t="shared" si="12"/>
        <v>1362.1000000000022</v>
      </c>
      <c r="I96" s="125">
        <f>C96-D96</f>
        <v>4137.200000000003</v>
      </c>
      <c r="J96" s="166"/>
      <c r="K96" s="153"/>
    </row>
    <row r="97" spans="1:11" ht="8.25" customHeight="1" thickBot="1">
      <c r="A97" s="16"/>
      <c r="B97" s="43"/>
      <c r="C97" s="51"/>
      <c r="D97" s="52"/>
      <c r="E97" s="6"/>
      <c r="F97" s="6"/>
      <c r="G97" s="6"/>
      <c r="H97" s="52"/>
      <c r="I97" s="52"/>
      <c r="J97" s="166"/>
      <c r="K97" s="153"/>
    </row>
    <row r="98" spans="1:11" ht="19.5" hidden="1" thickBot="1">
      <c r="A98" s="25" t="s">
        <v>37</v>
      </c>
      <c r="B98" s="59"/>
      <c r="C98" s="60"/>
      <c r="D98" s="61"/>
      <c r="E98" s="3">
        <f>D98/D154*100</f>
        <v>0</v>
      </c>
      <c r="F98" s="3"/>
      <c r="G98" s="3" t="e">
        <f>D98/C98*100</f>
        <v>#DIV/0!</v>
      </c>
      <c r="H98" s="40"/>
      <c r="I98" s="40">
        <f>C98-D98</f>
        <v>0</v>
      </c>
      <c r="J98" s="166"/>
      <c r="K98" s="153">
        <f t="shared" si="13"/>
        <v>0</v>
      </c>
    </row>
    <row r="99" spans="1:11" ht="5.25" customHeight="1" hidden="1" thickBot="1">
      <c r="A99" s="24"/>
      <c r="B99" s="56"/>
      <c r="C99" s="57"/>
      <c r="D99" s="58"/>
      <c r="E99" s="13"/>
      <c r="F99" s="6"/>
      <c r="G99" s="6"/>
      <c r="H99" s="52"/>
      <c r="I99" s="86"/>
      <c r="J99" s="166"/>
      <c r="K99" s="153">
        <f t="shared" si="13"/>
        <v>0</v>
      </c>
    </row>
    <row r="100" spans="1:11" s="14" customFormat="1" ht="36" customHeight="1" hidden="1" thickBot="1">
      <c r="A100" s="12" t="s">
        <v>51</v>
      </c>
      <c r="B100" s="45"/>
      <c r="C100" s="39"/>
      <c r="D100" s="40"/>
      <c r="E100" s="3">
        <f>D100/D154*100</f>
        <v>0</v>
      </c>
      <c r="F100" s="3" t="e">
        <f>D100/B100*100</f>
        <v>#DIV/0!</v>
      </c>
      <c r="G100" s="3" t="e">
        <f>D100/C100*100</f>
        <v>#DIV/0!</v>
      </c>
      <c r="H100" s="40">
        <f>B100-D100</f>
        <v>0</v>
      </c>
      <c r="I100" s="40">
        <f>C100-D100</f>
        <v>0</v>
      </c>
      <c r="J100" s="167"/>
      <c r="K100" s="153">
        <f t="shared" si="13"/>
        <v>0</v>
      </c>
    </row>
    <row r="101" spans="1:11" ht="6.75" customHeight="1" hidden="1" thickBot="1">
      <c r="A101" s="77"/>
      <c r="B101" s="78"/>
      <c r="C101" s="57"/>
      <c r="D101" s="58"/>
      <c r="E101" s="13"/>
      <c r="F101" s="6"/>
      <c r="G101" s="6"/>
      <c r="H101" s="52"/>
      <c r="I101" s="86"/>
      <c r="J101" s="166"/>
      <c r="K101" s="153">
        <f t="shared" si="13"/>
        <v>0</v>
      </c>
    </row>
    <row r="102" spans="1:11" s="32" customFormat="1" ht="19.5" thickBot="1">
      <c r="A102" s="12" t="s">
        <v>11</v>
      </c>
      <c r="B102" s="90">
        <v>11280.8</v>
      </c>
      <c r="C102" s="70">
        <f>11266.5-91.2+1707.2+14.9+0.2+1010.6</f>
        <v>13908.2</v>
      </c>
      <c r="D102" s="65">
        <f>144.5+120.5+0.1+30.9+51.6+143.8+13.5+25.2+149.6+13.2+89.8+139.8+98.3+5.4+242.1+58+93.2+85.3+255.7+143.6+0.2+288+23.7+143.3+300.5+112.9+1.3+105.1+102.9+152.8+111.4+8.9+27.7+4.2+19.6+31+32.7+235.7+6.8+148.9+7.7+39+92.5+5.9+52.5+330+44.5+11.7+17.7+4.5+12.7-9.3+102.5+14.5+115.5+5+1833.4+16.8+33.9+103.7+4.5+11.9-3.8+41+15.6+214.9+15.8+27.5+45.1+20.5+127.1+4.6+64.3+36.4+328.8-1.6+12.8+69.9+12+57.6+10.1+29.2+220+61+98.9-0.1+8.3+19.9+3.6+72.3+54.5+1.8+96.8+32.4+35+47.1+155.3+34.5+57.7+34.2+61.3+32.7+18+77.1+1.1+85+37.9+1.2+54.7+22.2+9.8+135.5+22.2+97</f>
        <v>9429.500000000002</v>
      </c>
      <c r="E102" s="17">
        <f>D102/D154*100</f>
        <v>0.630727474694815</v>
      </c>
      <c r="F102" s="17">
        <f>D102/B102*100</f>
        <v>83.5889298631303</v>
      </c>
      <c r="G102" s="17">
        <f aca="true" t="shared" si="14" ref="G102:G152">D102/C102*100</f>
        <v>67.79813347521608</v>
      </c>
      <c r="H102" s="65">
        <f aca="true" t="shared" si="15" ref="H102:H108">B102-D102</f>
        <v>1851.2999999999975</v>
      </c>
      <c r="I102" s="65">
        <f aca="true" t="shared" si="16" ref="I102:I152">C102-D102</f>
        <v>4478.699999999999</v>
      </c>
      <c r="J102" s="168"/>
      <c r="K102" s="153"/>
    </row>
    <row r="103" spans="1:11" s="93" customFormat="1" ht="18.75" customHeight="1">
      <c r="A103" s="102" t="s">
        <v>3</v>
      </c>
      <c r="B103" s="118">
        <v>291</v>
      </c>
      <c r="C103" s="119">
        <v>363.8</v>
      </c>
      <c r="D103" s="119">
        <f>31.2+4.8+33.9+5.2+30.9+10.3+19.9+19.5+19.7+20.2+35.3</f>
        <v>230.89999999999998</v>
      </c>
      <c r="E103" s="120">
        <f>D103/D102*100</f>
        <v>2.448698234264807</v>
      </c>
      <c r="F103" s="106">
        <f>D103/B103*100</f>
        <v>79.34707903780068</v>
      </c>
      <c r="G103" s="120">
        <f>D103/C103*100</f>
        <v>63.468938977460134</v>
      </c>
      <c r="H103" s="119">
        <f t="shared" si="15"/>
        <v>60.10000000000002</v>
      </c>
      <c r="I103" s="119">
        <f t="shared" si="16"/>
        <v>132.90000000000003</v>
      </c>
      <c r="J103" s="166"/>
      <c r="K103" s="153"/>
    </row>
    <row r="104" spans="1:11" s="93" customFormat="1" ht="18">
      <c r="A104" s="121" t="s">
        <v>48</v>
      </c>
      <c r="B104" s="103">
        <v>9329.8</v>
      </c>
      <c r="C104" s="104">
        <f>8949.2-91.2+1682.1+14.9+68.9</f>
        <v>10623.9</v>
      </c>
      <c r="D104" s="104">
        <f>144.4+120.5+0.1+30.9+51.6+143.7+13.5+25.2+149.6+13.2+89.8+139.7+98.3+5.4+242.1+58+85.3+255.7+143.8+288+14+143.1+279.2+72.1+105.1+85.1+152.8+111.4+4.2+3.8+32.7+179.1+117.7+1.8+39+92.5+1.8+43.8+330+35+1.8+93.6+61.9+1.8+115.5+1668.2+140+96.2+37.2+52+150.6+1.8+8+113.8+3.6+46.6+5.5+126+34.3+151.8+9.5+2.4+53.6+9.1+1+182.1+50.9+33.7+40.8+3.6+68.2+54.5+1.8+34+29.9+10.9+146.5+34.5+57.7+34.2+41.6+16.3+77.1+85+135.4+22.2+61.7</f>
        <v>8151.4000000000015</v>
      </c>
      <c r="E104" s="106">
        <f>D104/D102*100</f>
        <v>86.44572882973647</v>
      </c>
      <c r="F104" s="106">
        <f aca="true" t="shared" si="17" ref="F104:F152">D104/B104*100</f>
        <v>87.3695041694356</v>
      </c>
      <c r="G104" s="106">
        <f t="shared" si="14"/>
        <v>76.7270023249466</v>
      </c>
      <c r="H104" s="104">
        <f t="shared" si="15"/>
        <v>1178.3999999999978</v>
      </c>
      <c r="I104" s="104">
        <f t="shared" si="16"/>
        <v>2472.499999999998</v>
      </c>
      <c r="J104" s="166"/>
      <c r="K104" s="153"/>
    </row>
    <row r="105" spans="1:11" s="93" customFormat="1" ht="54.75" hidden="1" thickBot="1">
      <c r="A105" s="122" t="s">
        <v>79</v>
      </c>
      <c r="B105" s="123"/>
      <c r="C105" s="123"/>
      <c r="D105" s="123"/>
      <c r="E105" s="124">
        <f>D105/D102*100</f>
        <v>0</v>
      </c>
      <c r="F105" s="124" t="e">
        <f>D105/B105*100</f>
        <v>#DIV/0!</v>
      </c>
      <c r="G105" s="124" t="e">
        <f>D105/C105*100</f>
        <v>#DIV/0!</v>
      </c>
      <c r="H105" s="125">
        <f t="shared" si="15"/>
        <v>0</v>
      </c>
      <c r="I105" s="125">
        <f>C105-D105</f>
        <v>0</v>
      </c>
      <c r="J105" s="166"/>
      <c r="K105" s="153"/>
    </row>
    <row r="106" spans="1:11" s="93" customFormat="1" ht="18.75" thickBot="1">
      <c r="A106" s="122" t="s">
        <v>27</v>
      </c>
      <c r="B106" s="123">
        <f>B102-B103-B104</f>
        <v>1660</v>
      </c>
      <c r="C106" s="123">
        <f>C102-C103-C104</f>
        <v>2920.500000000002</v>
      </c>
      <c r="D106" s="123">
        <f>D102-D103-D104</f>
        <v>1047.2000000000007</v>
      </c>
      <c r="E106" s="124">
        <f>D106/D102*100</f>
        <v>11.105572935998733</v>
      </c>
      <c r="F106" s="124">
        <f t="shared" si="17"/>
        <v>63.084337349397636</v>
      </c>
      <c r="G106" s="124">
        <f t="shared" si="14"/>
        <v>35.85687382297552</v>
      </c>
      <c r="H106" s="125">
        <f t="shared" si="15"/>
        <v>612.7999999999993</v>
      </c>
      <c r="I106" s="125">
        <f t="shared" si="16"/>
        <v>1873.300000000001</v>
      </c>
      <c r="J106" s="166"/>
      <c r="K106" s="153"/>
    </row>
    <row r="107" spans="1:12" s="2" customFormat="1" ht="26.25" customHeight="1" thickBot="1">
      <c r="A107" s="66" t="s">
        <v>28</v>
      </c>
      <c r="B107" s="67">
        <f>SUM(B108:B151)-B115-B120+B152-B142-B143-B109-B112-B123-B124-B140-B133-B131-B138-B118</f>
        <v>451251.1920600001</v>
      </c>
      <c r="C107" s="67">
        <f>SUM(C108:C151)-C115-C120+C152-C142-C143-C109-C112-C123-C124-C140-C133-C131-C138-C118</f>
        <v>577632.5999999999</v>
      </c>
      <c r="D107" s="67">
        <f>SUM(D108:D151)-D115-D120+D152-D142-D143-D109-D112-D123-D124-D140-D133-D131-D138-D118</f>
        <v>335386.7</v>
      </c>
      <c r="E107" s="68">
        <f>D107/D154*100</f>
        <v>22.433597363298958</v>
      </c>
      <c r="F107" s="68">
        <f>D107/B107*100</f>
        <v>74.32372609785942</v>
      </c>
      <c r="G107" s="68">
        <f t="shared" si="14"/>
        <v>58.06228734320052</v>
      </c>
      <c r="H107" s="67">
        <f t="shared" si="15"/>
        <v>115864.49206000008</v>
      </c>
      <c r="I107" s="67">
        <f t="shared" si="16"/>
        <v>242245.89999999985</v>
      </c>
      <c r="J107" s="164"/>
      <c r="K107" s="153"/>
      <c r="L107" s="96"/>
    </row>
    <row r="108" spans="1:12" s="93" customFormat="1" ht="37.5">
      <c r="A108" s="97" t="s">
        <v>52</v>
      </c>
      <c r="B108" s="160">
        <v>3293.6</v>
      </c>
      <c r="C108" s="157">
        <v>4459</v>
      </c>
      <c r="D108" s="98">
        <f>17.1+81.1+17.3+60.5+173.3+3.4+2+0.4+29.3+1.7+177.1+0.8+38.8+139.8+0.3+1.9+1.8+6.5+136+91.3+0.1+1.8+1.1+2.4+3.5+2+3.4+72.2+73.1+42.5+21.2+13.2+0.2+17.6-34.7+31.4+109.2+11.6+31.6+1.8+1.8+136.5+26+0.7+9.8+16+6.4+2.3+33+154.5+0.1-4.6+4.8+5+167.7+2.4+2.4+1.7+6.6+36.1+75.4+6.9</f>
        <v>2077.0999999999995</v>
      </c>
      <c r="E108" s="99">
        <f>D108/D107*100</f>
        <v>0.6193149579276696</v>
      </c>
      <c r="F108" s="99">
        <f t="shared" si="17"/>
        <v>63.06473160068009</v>
      </c>
      <c r="G108" s="99">
        <f t="shared" si="14"/>
        <v>46.582193316887185</v>
      </c>
      <c r="H108" s="100">
        <f t="shared" si="15"/>
        <v>1216.5000000000005</v>
      </c>
      <c r="I108" s="100">
        <f t="shared" si="16"/>
        <v>2381.9000000000005</v>
      </c>
      <c r="K108" s="153"/>
      <c r="L108" s="101"/>
    </row>
    <row r="109" spans="1:12" s="93" customFormat="1" ht="18.75">
      <c r="A109" s="102" t="s">
        <v>25</v>
      </c>
      <c r="B109" s="103">
        <v>1460.7</v>
      </c>
      <c r="C109" s="104">
        <v>1995</v>
      </c>
      <c r="D109" s="105">
        <f>47.8+0.9+59.7+88.3+0.1+59.2+38.8+107.4+24+91.1+38+42.5+2+31.4+47.6+36.5-21.6+46.3+2.4+36.1</f>
        <v>778.5</v>
      </c>
      <c r="E109" s="106">
        <f>D109/D108*100</f>
        <v>37.48014058061722</v>
      </c>
      <c r="F109" s="106">
        <f t="shared" si="17"/>
        <v>53.29636475662354</v>
      </c>
      <c r="G109" s="106">
        <f t="shared" si="14"/>
        <v>39.02255639097744</v>
      </c>
      <c r="H109" s="104">
        <f aca="true" t="shared" si="18" ref="H109:H152">B109-D109</f>
        <v>682.2</v>
      </c>
      <c r="I109" s="104">
        <f t="shared" si="16"/>
        <v>1216.5</v>
      </c>
      <c r="K109" s="153"/>
      <c r="L109" s="101"/>
    </row>
    <row r="110" spans="1:12" s="93" customFormat="1" ht="34.5" customHeight="1" hidden="1">
      <c r="A110" s="107" t="s">
        <v>78</v>
      </c>
      <c r="B110" s="159"/>
      <c r="C110" s="100"/>
      <c r="D110" s="98"/>
      <c r="E110" s="99">
        <f>D110/D107*100</f>
        <v>0</v>
      </c>
      <c r="F110" s="99" t="e">
        <f>D110/B110*100</f>
        <v>#DIV/0!</v>
      </c>
      <c r="G110" s="99" t="e">
        <f t="shared" si="14"/>
        <v>#DIV/0!</v>
      </c>
      <c r="H110" s="100">
        <f t="shared" si="18"/>
        <v>0</v>
      </c>
      <c r="I110" s="100">
        <f t="shared" si="16"/>
        <v>0</v>
      </c>
      <c r="K110" s="153"/>
      <c r="L110" s="101"/>
    </row>
    <row r="111" spans="1:12" s="94" customFormat="1" ht="34.5" customHeight="1">
      <c r="A111" s="107" t="s">
        <v>93</v>
      </c>
      <c r="B111" s="161">
        <v>170.3</v>
      </c>
      <c r="C111" s="108">
        <v>200</v>
      </c>
      <c r="D111" s="109"/>
      <c r="E111" s="99">
        <f>D111/D107*100</f>
        <v>0</v>
      </c>
      <c r="F111" s="110">
        <f t="shared" si="17"/>
        <v>0</v>
      </c>
      <c r="G111" s="99">
        <f t="shared" si="14"/>
        <v>0</v>
      </c>
      <c r="H111" s="100">
        <f t="shared" si="18"/>
        <v>170.3</v>
      </c>
      <c r="I111" s="100">
        <f t="shared" si="16"/>
        <v>200</v>
      </c>
      <c r="K111" s="153"/>
      <c r="L111" s="101"/>
    </row>
    <row r="112" spans="1:12" s="93" customFormat="1" ht="18.75" hidden="1">
      <c r="A112" s="102" t="s">
        <v>25</v>
      </c>
      <c r="B112" s="158"/>
      <c r="C112" s="104"/>
      <c r="D112" s="105"/>
      <c r="E112" s="106"/>
      <c r="F112" s="106" t="e">
        <f t="shared" si="17"/>
        <v>#DIV/0!</v>
      </c>
      <c r="G112" s="106" t="e">
        <f t="shared" si="14"/>
        <v>#DIV/0!</v>
      </c>
      <c r="H112" s="104">
        <f t="shared" si="18"/>
        <v>0</v>
      </c>
      <c r="I112" s="104">
        <f t="shared" si="16"/>
        <v>0</v>
      </c>
      <c r="K112" s="153"/>
      <c r="L112" s="101"/>
    </row>
    <row r="113" spans="1:12" s="93" customFormat="1" ht="18.75">
      <c r="A113" s="107" t="s">
        <v>89</v>
      </c>
      <c r="B113" s="161">
        <v>64.296</v>
      </c>
      <c r="C113" s="100">
        <v>64.3</v>
      </c>
      <c r="D113" s="98">
        <f>6.8+7+3.6</f>
        <v>17.400000000000002</v>
      </c>
      <c r="E113" s="99">
        <f>D113/D107*100</f>
        <v>0.005188041147725894</v>
      </c>
      <c r="F113" s="99">
        <f t="shared" si="17"/>
        <v>27.062336692795817</v>
      </c>
      <c r="G113" s="99">
        <f t="shared" si="14"/>
        <v>27.06065318818041</v>
      </c>
      <c r="H113" s="100">
        <f t="shared" si="18"/>
        <v>46.896</v>
      </c>
      <c r="I113" s="100">
        <f t="shared" si="16"/>
        <v>46.89999999999999</v>
      </c>
      <c r="K113" s="153"/>
      <c r="L113" s="101"/>
    </row>
    <row r="114" spans="1:12" s="93" customFormat="1" ht="37.5">
      <c r="A114" s="107" t="s">
        <v>38</v>
      </c>
      <c r="B114" s="161">
        <v>2758.7</v>
      </c>
      <c r="C114" s="100">
        <v>3311.5</v>
      </c>
      <c r="D114" s="98">
        <f>136.4+10+40+6.6+6.1+0.2+177.4+10+1.8+25.1+29.4+48.1+8.1+193.1+10+0.1+17.8+8.8+132.4+79.7+12.6+4.3+3.5+212.4+8.1+0.4+10.8+218.3+5.3+16.4+166.6+54.3+12.8+52.1+1.1+0.2+214.8+15.7+3.7+4.8+133.9+54.7+10.7+6.3</f>
        <v>2164.8999999999996</v>
      </c>
      <c r="E114" s="99">
        <f>D114/D107*100</f>
        <v>0.6454936942937808</v>
      </c>
      <c r="F114" s="99">
        <f t="shared" si="17"/>
        <v>78.47536883314604</v>
      </c>
      <c r="G114" s="99">
        <f t="shared" si="14"/>
        <v>65.37520760984447</v>
      </c>
      <c r="H114" s="100">
        <f t="shared" si="18"/>
        <v>593.8000000000002</v>
      </c>
      <c r="I114" s="100">
        <f t="shared" si="16"/>
        <v>1146.6000000000004</v>
      </c>
      <c r="K114" s="153"/>
      <c r="L114" s="101"/>
    </row>
    <row r="115" spans="1:12" s="93" customFormat="1" ht="18.75" hidden="1">
      <c r="A115" s="111" t="s">
        <v>43</v>
      </c>
      <c r="B115" s="158"/>
      <c r="C115" s="104"/>
      <c r="D115" s="105"/>
      <c r="E115" s="99"/>
      <c r="F115" s="99" t="e">
        <f t="shared" si="17"/>
        <v>#DIV/0!</v>
      </c>
      <c r="G115" s="106" t="e">
        <f t="shared" si="14"/>
        <v>#DIV/0!</v>
      </c>
      <c r="H115" s="104">
        <f t="shared" si="18"/>
        <v>0</v>
      </c>
      <c r="I115" s="104">
        <f t="shared" si="16"/>
        <v>0</v>
      </c>
      <c r="K115" s="153"/>
      <c r="L115" s="101"/>
    </row>
    <row r="116" spans="1:12" s="94" customFormat="1" ht="18.75" customHeight="1" hidden="1">
      <c r="A116" s="107" t="s">
        <v>90</v>
      </c>
      <c r="B116" s="159"/>
      <c r="C116" s="108"/>
      <c r="D116" s="109"/>
      <c r="E116" s="112">
        <f>D116/D107*100</f>
        <v>0</v>
      </c>
      <c r="F116" s="99" t="e">
        <f t="shared" si="17"/>
        <v>#DIV/0!</v>
      </c>
      <c r="G116" s="112" t="e">
        <f t="shared" si="14"/>
        <v>#DIV/0!</v>
      </c>
      <c r="H116" s="108">
        <f t="shared" si="18"/>
        <v>0</v>
      </c>
      <c r="I116" s="108">
        <f t="shared" si="16"/>
        <v>0</v>
      </c>
      <c r="K116" s="153"/>
      <c r="L116" s="101"/>
    </row>
    <row r="117" spans="1:12" s="93" customFormat="1" ht="37.5">
      <c r="A117" s="107" t="s">
        <v>47</v>
      </c>
      <c r="B117" s="161">
        <f>200-130</f>
        <v>70</v>
      </c>
      <c r="C117" s="100">
        <f>200-130</f>
        <v>70</v>
      </c>
      <c r="D117" s="98">
        <f>15+40+1.2+1.8+2.6</f>
        <v>60.6</v>
      </c>
      <c r="E117" s="99">
        <f>D117/D107*100</f>
        <v>0.01806869503173501</v>
      </c>
      <c r="F117" s="99">
        <f>D117/B117*100</f>
        <v>86.57142857142858</v>
      </c>
      <c r="G117" s="99">
        <f t="shared" si="14"/>
        <v>86.57142857142858</v>
      </c>
      <c r="H117" s="100">
        <f t="shared" si="18"/>
        <v>9.399999999999999</v>
      </c>
      <c r="I117" s="100">
        <f t="shared" si="16"/>
        <v>9.399999999999999</v>
      </c>
      <c r="K117" s="153"/>
      <c r="L117" s="101"/>
    </row>
    <row r="118" spans="1:12" s="93" customFormat="1" ht="18.75">
      <c r="A118" s="111" t="s">
        <v>88</v>
      </c>
      <c r="B118" s="171">
        <v>40</v>
      </c>
      <c r="C118" s="172">
        <v>40</v>
      </c>
      <c r="D118" s="105">
        <v>40</v>
      </c>
      <c r="E118" s="106">
        <f>D118/D117*100</f>
        <v>66.006600660066</v>
      </c>
      <c r="F118" s="106">
        <f>D118/B118*100</f>
        <v>100</v>
      </c>
      <c r="G118" s="106">
        <f>D118/C118*100</f>
        <v>100</v>
      </c>
      <c r="H118" s="104">
        <f>B118-D118</f>
        <v>0</v>
      </c>
      <c r="I118" s="104">
        <f>C118-D118</f>
        <v>0</v>
      </c>
      <c r="K118" s="183"/>
      <c r="L118" s="184"/>
    </row>
    <row r="119" spans="1:12" s="113" customFormat="1" ht="18.75">
      <c r="A119" s="107" t="s">
        <v>15</v>
      </c>
      <c r="B119" s="161">
        <v>388.3</v>
      </c>
      <c r="C119" s="108">
        <v>491.6</v>
      </c>
      <c r="D119" s="98">
        <f>45.4+9.9+47+6.4+0.4+0.4+45.4+0.4+2.9+45.4+4+6.8+0.4+45.4+0.1+5.8+0.8+0.4+0.8+0.7+13+0.4+5+0.3+0.8+45.4+5</f>
        <v>338.70000000000005</v>
      </c>
      <c r="E119" s="99">
        <f>D119/D107*100</f>
        <v>0.10098790441004371</v>
      </c>
      <c r="F119" s="99">
        <f t="shared" si="17"/>
        <v>87.22637136234871</v>
      </c>
      <c r="G119" s="99">
        <f t="shared" si="14"/>
        <v>68.89747762408463</v>
      </c>
      <c r="H119" s="100">
        <f t="shared" si="18"/>
        <v>49.599999999999966</v>
      </c>
      <c r="I119" s="100">
        <f t="shared" si="16"/>
        <v>152.89999999999998</v>
      </c>
      <c r="K119" s="183"/>
      <c r="L119" s="184"/>
    </row>
    <row r="120" spans="1:12" s="114" customFormat="1" ht="18.75">
      <c r="A120" s="111" t="s">
        <v>43</v>
      </c>
      <c r="B120" s="103">
        <v>317.9</v>
      </c>
      <c r="C120" s="104">
        <v>408.8</v>
      </c>
      <c r="D120" s="105">
        <f>45.4+45.4+45.4+45.4+45.4+0.1+45.4</f>
        <v>272.5</v>
      </c>
      <c r="E120" s="106">
        <f>D120/D119*100</f>
        <v>80.45467965751402</v>
      </c>
      <c r="F120" s="106">
        <f t="shared" si="17"/>
        <v>85.7187794904058</v>
      </c>
      <c r="G120" s="106">
        <f t="shared" si="14"/>
        <v>66.65851272015655</v>
      </c>
      <c r="H120" s="104">
        <f t="shared" si="18"/>
        <v>45.39999999999998</v>
      </c>
      <c r="I120" s="104">
        <f t="shared" si="16"/>
        <v>136.3</v>
      </c>
      <c r="K120" s="183"/>
      <c r="L120" s="184"/>
    </row>
    <row r="121" spans="1:12" s="113" customFormat="1" ht="18.75">
      <c r="A121" s="107" t="s">
        <v>105</v>
      </c>
      <c r="B121" s="161">
        <v>275</v>
      </c>
      <c r="C121" s="108">
        <v>317</v>
      </c>
      <c r="D121" s="98">
        <v>3.6</v>
      </c>
      <c r="E121" s="99">
        <f>D121/D107*100</f>
        <v>0.0010733878236674262</v>
      </c>
      <c r="F121" s="99">
        <f t="shared" si="17"/>
        <v>1.309090909090909</v>
      </c>
      <c r="G121" s="99">
        <f t="shared" si="14"/>
        <v>1.135646687697161</v>
      </c>
      <c r="H121" s="100">
        <f t="shared" si="18"/>
        <v>271.4</v>
      </c>
      <c r="I121" s="100">
        <f t="shared" si="16"/>
        <v>313.4</v>
      </c>
      <c r="K121" s="183"/>
      <c r="L121" s="184"/>
    </row>
    <row r="122" spans="1:12" s="113" customFormat="1" ht="21.75" customHeight="1">
      <c r="A122" s="107" t="s">
        <v>94</v>
      </c>
      <c r="B122" s="161">
        <f>559.999-88.1</f>
        <v>471.899</v>
      </c>
      <c r="C122" s="108">
        <f>480+80</f>
        <v>560</v>
      </c>
      <c r="D122" s="109">
        <f>12+360.2+19.8+20.5+40.3+18.3</f>
        <v>471.1</v>
      </c>
      <c r="E122" s="112">
        <f>D122/D107*100</f>
        <v>0.14046472325825682</v>
      </c>
      <c r="F122" s="99">
        <f t="shared" si="17"/>
        <v>99.83068410825197</v>
      </c>
      <c r="G122" s="99">
        <f t="shared" si="14"/>
        <v>84.125</v>
      </c>
      <c r="H122" s="100">
        <f t="shared" si="18"/>
        <v>0.7989999999999782</v>
      </c>
      <c r="I122" s="100">
        <f t="shared" si="16"/>
        <v>88.89999999999998</v>
      </c>
      <c r="J122" s="164"/>
      <c r="K122" s="183"/>
      <c r="L122" s="184"/>
    </row>
    <row r="123" spans="1:12" s="116" customFormat="1" ht="18.75" hidden="1">
      <c r="A123" s="102" t="s">
        <v>80</v>
      </c>
      <c r="B123" s="158"/>
      <c r="C123" s="104"/>
      <c r="D123" s="105"/>
      <c r="E123" s="99"/>
      <c r="F123" s="115" t="e">
        <f>D123/B123*100</f>
        <v>#DIV/0!</v>
      </c>
      <c r="G123" s="106" t="e">
        <f t="shared" si="14"/>
        <v>#DIV/0!</v>
      </c>
      <c r="H123" s="104">
        <f t="shared" si="18"/>
        <v>0</v>
      </c>
      <c r="I123" s="104">
        <f t="shared" si="16"/>
        <v>0</v>
      </c>
      <c r="K123" s="183"/>
      <c r="L123" s="184"/>
    </row>
    <row r="124" spans="1:12" s="116" customFormat="1" ht="18.75" hidden="1">
      <c r="A124" s="102" t="s">
        <v>49</v>
      </c>
      <c r="B124" s="158"/>
      <c r="C124" s="104"/>
      <c r="D124" s="105"/>
      <c r="E124" s="99"/>
      <c r="F124" s="106" t="e">
        <f>D124/B124*100</f>
        <v>#DIV/0!</v>
      </c>
      <c r="G124" s="106" t="e">
        <f t="shared" si="14"/>
        <v>#DIV/0!</v>
      </c>
      <c r="H124" s="104">
        <f t="shared" si="18"/>
        <v>0</v>
      </c>
      <c r="I124" s="104">
        <f t="shared" si="16"/>
        <v>0</v>
      </c>
      <c r="K124" s="183"/>
      <c r="L124" s="184"/>
    </row>
    <row r="125" spans="1:12" s="113" customFormat="1" ht="37.5">
      <c r="A125" s="107" t="s">
        <v>95</v>
      </c>
      <c r="B125" s="161">
        <f>40504.1+3053.2+1425.5</f>
        <v>44982.799999999996</v>
      </c>
      <c r="C125" s="108">
        <f>45511.3+17000</f>
        <v>62511.3</v>
      </c>
      <c r="D125" s="109">
        <f>3529.6+2264.3+1265.3+2996.5+533.1+738.7+2380.2+1722.3+1049.4+1874.1+1476.2+1455.5+94.4+1416+1268.6+1913.6+457.2+1108.2+2510.4+39.4+1337.2+1221+3120.4+2083.6+2630.6+1941.5</f>
        <v>42427.3</v>
      </c>
      <c r="E125" s="112">
        <f>D125/D107*100</f>
        <v>12.650263114190277</v>
      </c>
      <c r="F125" s="99">
        <f t="shared" si="17"/>
        <v>94.31893968361243</v>
      </c>
      <c r="G125" s="99">
        <f t="shared" si="14"/>
        <v>67.87140884928006</v>
      </c>
      <c r="H125" s="100">
        <f t="shared" si="18"/>
        <v>2555.4999999999927</v>
      </c>
      <c r="I125" s="100">
        <f t="shared" si="16"/>
        <v>20084</v>
      </c>
      <c r="K125" s="183"/>
      <c r="L125" s="184"/>
    </row>
    <row r="126" spans="1:12" s="113" customFormat="1" ht="18.75">
      <c r="A126" s="107" t="s">
        <v>91</v>
      </c>
      <c r="B126" s="161">
        <v>685</v>
      </c>
      <c r="C126" s="108">
        <v>700</v>
      </c>
      <c r="D126" s="109">
        <f>9.6+1.5</f>
        <v>11.1</v>
      </c>
      <c r="E126" s="112">
        <f>D126/D107*100</f>
        <v>0.0033096124563078977</v>
      </c>
      <c r="F126" s="99">
        <f t="shared" si="17"/>
        <v>1.6204379562043796</v>
      </c>
      <c r="G126" s="99">
        <f t="shared" si="14"/>
        <v>1.5857142857142859</v>
      </c>
      <c r="H126" s="100">
        <f t="shared" si="18"/>
        <v>673.9</v>
      </c>
      <c r="I126" s="100">
        <f t="shared" si="16"/>
        <v>688.9</v>
      </c>
      <c r="K126" s="183"/>
      <c r="L126" s="184"/>
    </row>
    <row r="127" spans="1:12" s="113" customFormat="1" ht="37.5">
      <c r="A127" s="107" t="s">
        <v>100</v>
      </c>
      <c r="B127" s="161">
        <v>200</v>
      </c>
      <c r="C127" s="108">
        <f>200+250</f>
        <v>450</v>
      </c>
      <c r="D127" s="109">
        <f>63.1+15.9+49.6</f>
        <v>128.6</v>
      </c>
      <c r="E127" s="112">
        <f>D127/D107*100</f>
        <v>0.038343798367675284</v>
      </c>
      <c r="F127" s="99">
        <f t="shared" si="17"/>
        <v>64.3</v>
      </c>
      <c r="G127" s="99">
        <f t="shared" si="14"/>
        <v>28.577777777777776</v>
      </c>
      <c r="H127" s="100">
        <f t="shared" si="18"/>
        <v>71.4</v>
      </c>
      <c r="I127" s="100">
        <f t="shared" si="16"/>
        <v>321.4</v>
      </c>
      <c r="K127" s="183"/>
      <c r="L127" s="184"/>
    </row>
    <row r="128" spans="1:12" s="113" customFormat="1" ht="37.5">
      <c r="A128" s="107" t="s">
        <v>85</v>
      </c>
      <c r="B128" s="161">
        <v>111.1</v>
      </c>
      <c r="C128" s="108">
        <f>111.1</f>
        <v>111.1</v>
      </c>
      <c r="D128" s="109">
        <v>34.5</v>
      </c>
      <c r="E128" s="112">
        <f>D128/D107*100</f>
        <v>0.010286633310146169</v>
      </c>
      <c r="F128" s="99">
        <f t="shared" si="17"/>
        <v>31.053105310531055</v>
      </c>
      <c r="G128" s="99">
        <f t="shared" si="14"/>
        <v>31.053105310531055</v>
      </c>
      <c r="H128" s="100">
        <f t="shared" si="18"/>
        <v>76.6</v>
      </c>
      <c r="I128" s="100">
        <f t="shared" si="16"/>
        <v>76.6</v>
      </c>
      <c r="K128" s="183"/>
      <c r="L128" s="184"/>
    </row>
    <row r="129" spans="1:12" s="113" customFormat="1" ht="18.75" hidden="1">
      <c r="A129" s="111" t="s">
        <v>83</v>
      </c>
      <c r="B129" s="159"/>
      <c r="C129" s="108"/>
      <c r="D129" s="109"/>
      <c r="E129" s="112">
        <f>D129/D108*100</f>
        <v>0</v>
      </c>
      <c r="F129" s="99" t="e">
        <f t="shared" si="17"/>
        <v>#DIV/0!</v>
      </c>
      <c r="G129" s="99" t="e">
        <f t="shared" si="14"/>
        <v>#DIV/0!</v>
      </c>
      <c r="H129" s="100">
        <f t="shared" si="18"/>
        <v>0</v>
      </c>
      <c r="I129" s="100">
        <f t="shared" si="16"/>
        <v>0</v>
      </c>
      <c r="K129" s="183"/>
      <c r="L129" s="184"/>
    </row>
    <row r="130" spans="1:12" s="113" customFormat="1" ht="37.5">
      <c r="A130" s="107" t="s">
        <v>57</v>
      </c>
      <c r="B130" s="161">
        <v>879.4</v>
      </c>
      <c r="C130" s="108">
        <v>942</v>
      </c>
      <c r="D130" s="109">
        <f>7+4.2+0.1+12.3+0.2+7.1+17.8+14.9+1.7+0.1+7.4+7+2.7+3.7+7.1+5.3+31.3+16.4+2.5+1.7+26.7+0.1+13.8+0.1+2.9+6.5+0.6+7+4.8+0.1+17.3+0.5+7.6+29.1+0.2+0.1+7.4+1+0.1+0.2+0.1+0.4+7.4+2.8+0.8+6.9+26.7+15.1+8.8+14.7</f>
        <v>360.3</v>
      </c>
      <c r="E130" s="112">
        <f>D130/D107*100</f>
        <v>0.10742823135204825</v>
      </c>
      <c r="F130" s="99">
        <f t="shared" si="17"/>
        <v>40.97111667045713</v>
      </c>
      <c r="G130" s="99">
        <f t="shared" si="14"/>
        <v>38.248407643312106</v>
      </c>
      <c r="H130" s="100">
        <f t="shared" si="18"/>
        <v>519.0999999999999</v>
      </c>
      <c r="I130" s="100">
        <f t="shared" si="16"/>
        <v>581.7</v>
      </c>
      <c r="K130" s="183"/>
      <c r="L130" s="184"/>
    </row>
    <row r="131" spans="1:12" s="114" customFormat="1" ht="18.75">
      <c r="A131" s="102" t="s">
        <v>88</v>
      </c>
      <c r="B131" s="103">
        <v>485.8</v>
      </c>
      <c r="C131" s="104">
        <v>510.8</v>
      </c>
      <c r="D131" s="105">
        <f>7+7.1+7+7.1+7+7+7.4+7.4+7.4</f>
        <v>64.4</v>
      </c>
      <c r="E131" s="106">
        <f>D131/D130*100</f>
        <v>17.873993893977243</v>
      </c>
      <c r="F131" s="106">
        <f>D131/B131*100</f>
        <v>13.25648414985591</v>
      </c>
      <c r="G131" s="106">
        <f t="shared" si="14"/>
        <v>12.607674236491778</v>
      </c>
      <c r="H131" s="104">
        <f t="shared" si="18"/>
        <v>421.4</v>
      </c>
      <c r="I131" s="104">
        <f t="shared" si="16"/>
        <v>446.4</v>
      </c>
      <c r="K131" s="183"/>
      <c r="L131" s="184"/>
    </row>
    <row r="132" spans="1:12" s="113" customFormat="1" ht="37.5">
      <c r="A132" s="107" t="s">
        <v>103</v>
      </c>
      <c r="B132" s="161">
        <v>395</v>
      </c>
      <c r="C132" s="108">
        <v>485</v>
      </c>
      <c r="D132" s="109"/>
      <c r="E132" s="112">
        <f>D132/D107*100</f>
        <v>0</v>
      </c>
      <c r="F132" s="110">
        <f t="shared" si="17"/>
        <v>0</v>
      </c>
      <c r="G132" s="99">
        <f t="shared" si="14"/>
        <v>0</v>
      </c>
      <c r="H132" s="100">
        <f t="shared" si="18"/>
        <v>395</v>
      </c>
      <c r="I132" s="100">
        <f t="shared" si="16"/>
        <v>485</v>
      </c>
      <c r="K132" s="183"/>
      <c r="L132" s="184"/>
    </row>
    <row r="133" spans="1:12" s="114" customFormat="1" ht="18.75" hidden="1">
      <c r="A133" s="111" t="s">
        <v>43</v>
      </c>
      <c r="B133" s="158"/>
      <c r="C133" s="104"/>
      <c r="D133" s="105"/>
      <c r="E133" s="106"/>
      <c r="F133" s="106" t="e">
        <f>D133/B133*100</f>
        <v>#DIV/0!</v>
      </c>
      <c r="G133" s="106" t="e">
        <f t="shared" si="14"/>
        <v>#DIV/0!</v>
      </c>
      <c r="H133" s="104">
        <f t="shared" si="18"/>
        <v>0</v>
      </c>
      <c r="I133" s="104">
        <f t="shared" si="16"/>
        <v>0</v>
      </c>
      <c r="K133" s="183"/>
      <c r="L133" s="184"/>
    </row>
    <row r="134" spans="1:12" s="113" customFormat="1" ht="35.25" customHeight="1" hidden="1">
      <c r="A134" s="107" t="s">
        <v>102</v>
      </c>
      <c r="B134" s="159"/>
      <c r="C134" s="108"/>
      <c r="D134" s="109"/>
      <c r="E134" s="112">
        <f>D134/D107*100</f>
        <v>0</v>
      </c>
      <c r="F134" s="99" t="e">
        <f t="shared" si="17"/>
        <v>#DIV/0!</v>
      </c>
      <c r="G134" s="99" t="e">
        <f t="shared" si="14"/>
        <v>#DIV/0!</v>
      </c>
      <c r="H134" s="100">
        <f t="shared" si="18"/>
        <v>0</v>
      </c>
      <c r="I134" s="100">
        <f>C134-D134</f>
        <v>0</v>
      </c>
      <c r="K134" s="183"/>
      <c r="L134" s="184"/>
    </row>
    <row r="135" spans="1:12" s="113" customFormat="1" ht="21.75" customHeight="1" hidden="1">
      <c r="A135" s="107" t="s">
        <v>101</v>
      </c>
      <c r="B135" s="159"/>
      <c r="C135" s="108"/>
      <c r="D135" s="109"/>
      <c r="E135" s="112">
        <f>D135/D107*100</f>
        <v>0</v>
      </c>
      <c r="F135" s="99" t="e">
        <f t="shared" si="17"/>
        <v>#DIV/0!</v>
      </c>
      <c r="G135" s="99" t="e">
        <f t="shared" si="14"/>
        <v>#DIV/0!</v>
      </c>
      <c r="H135" s="100">
        <f t="shared" si="18"/>
        <v>0</v>
      </c>
      <c r="I135" s="100">
        <f t="shared" si="16"/>
        <v>0</v>
      </c>
      <c r="K135" s="183"/>
      <c r="L135" s="184"/>
    </row>
    <row r="136" spans="1:12" s="113" customFormat="1" ht="35.25" customHeight="1">
      <c r="A136" s="107" t="s">
        <v>87</v>
      </c>
      <c r="B136" s="161">
        <v>315</v>
      </c>
      <c r="C136" s="108">
        <f>383.2+1100</f>
        <v>1483.2</v>
      </c>
      <c r="D136" s="109">
        <f>2.9+1.5+9.7+8.2+0.2-0.4+16+13.6+102.3+20.9+65</f>
        <v>239.9</v>
      </c>
      <c r="E136" s="112">
        <f>D136/D107*100</f>
        <v>0.07152937191605988</v>
      </c>
      <c r="F136" s="99">
        <f t="shared" si="17"/>
        <v>76.15873015873017</v>
      </c>
      <c r="G136" s="99">
        <f t="shared" si="14"/>
        <v>16.174487594390506</v>
      </c>
      <c r="H136" s="100">
        <f t="shared" si="18"/>
        <v>75.1</v>
      </c>
      <c r="I136" s="100">
        <f t="shared" si="16"/>
        <v>1243.3</v>
      </c>
      <c r="K136" s="183"/>
      <c r="L136" s="184"/>
    </row>
    <row r="137" spans="1:12" s="113" customFormat="1" ht="39" customHeight="1">
      <c r="A137" s="107" t="s">
        <v>54</v>
      </c>
      <c r="B137" s="161">
        <v>280</v>
      </c>
      <c r="C137" s="108">
        <v>350</v>
      </c>
      <c r="D137" s="109">
        <f>3.7+1.9+30+0.6+12.1+11.2+3.6+6</f>
        <v>69.1</v>
      </c>
      <c r="E137" s="112">
        <f>D137/D107*100</f>
        <v>0.020603082948727543</v>
      </c>
      <c r="F137" s="99">
        <f t="shared" si="17"/>
        <v>24.678571428571427</v>
      </c>
      <c r="G137" s="99">
        <f t="shared" si="14"/>
        <v>19.742857142857144</v>
      </c>
      <c r="H137" s="100">
        <f t="shared" si="18"/>
        <v>210.9</v>
      </c>
      <c r="I137" s="100">
        <f t="shared" si="16"/>
        <v>280.9</v>
      </c>
      <c r="K137" s="183"/>
      <c r="L137" s="184"/>
    </row>
    <row r="138" spans="1:12" s="114" customFormat="1" ht="18.75">
      <c r="A138" s="102" t="s">
        <v>88</v>
      </c>
      <c r="B138" s="103">
        <v>86</v>
      </c>
      <c r="C138" s="104">
        <v>110</v>
      </c>
      <c r="D138" s="105">
        <f>3.7+1.9+12.1+11.1+3.6+6</f>
        <v>38.4</v>
      </c>
      <c r="E138" s="106"/>
      <c r="F138" s="99">
        <f>D138/B138*100</f>
        <v>44.651162790697676</v>
      </c>
      <c r="G138" s="106">
        <f>D138/C138*100</f>
        <v>34.90909090909091</v>
      </c>
      <c r="H138" s="104">
        <f>B138-D138</f>
        <v>47.6</v>
      </c>
      <c r="I138" s="104">
        <f>C138-D138</f>
        <v>71.6</v>
      </c>
      <c r="K138" s="183"/>
      <c r="L138" s="184"/>
    </row>
    <row r="139" spans="1:12" s="113" customFormat="1" ht="32.25" customHeight="1">
      <c r="A139" s="107" t="s">
        <v>84</v>
      </c>
      <c r="B139" s="161">
        <v>501.5</v>
      </c>
      <c r="C139" s="108">
        <v>607.7</v>
      </c>
      <c r="D139" s="109">
        <f>76+0.3+41+44+1.8+16.3+2.4+30+0.6+0.2+27.4+0.2+4.5-0.2+31.4+4.5+7.9+26.6+4.5+0.5+26.6+0.3+4.3+1.1+0.3+24+0.5+4.2+38.1+0.8</f>
        <v>420.10000000000014</v>
      </c>
      <c r="E139" s="112">
        <f>D139/D107*100</f>
        <v>0.12525839575630163</v>
      </c>
      <c r="F139" s="99">
        <f>D139/B139*100</f>
        <v>83.76869391824529</v>
      </c>
      <c r="G139" s="99">
        <f>D139/C139*100</f>
        <v>69.12950468981407</v>
      </c>
      <c r="H139" s="100">
        <f t="shared" si="18"/>
        <v>81.39999999999986</v>
      </c>
      <c r="I139" s="100">
        <f t="shared" si="16"/>
        <v>187.5999999999999</v>
      </c>
      <c r="K139" s="183"/>
      <c r="L139" s="184"/>
    </row>
    <row r="140" spans="1:12" s="114" customFormat="1" ht="18.75">
      <c r="A140" s="102" t="s">
        <v>25</v>
      </c>
      <c r="B140" s="103">
        <v>402</v>
      </c>
      <c r="C140" s="104">
        <v>489.6</v>
      </c>
      <c r="D140" s="105">
        <f>76+37.6+44+1.2+0.7+30+27.4+30.6+0.6+26+0.5+26+0.3+24+24+0.5</f>
        <v>349.4</v>
      </c>
      <c r="E140" s="106">
        <f>D140/D139*100</f>
        <v>83.17067364913112</v>
      </c>
      <c r="F140" s="106">
        <f t="shared" si="17"/>
        <v>86.91542288557214</v>
      </c>
      <c r="G140" s="106">
        <f>D140/C140*100</f>
        <v>71.36437908496731</v>
      </c>
      <c r="H140" s="104">
        <f t="shared" si="18"/>
        <v>52.60000000000002</v>
      </c>
      <c r="I140" s="104">
        <f t="shared" si="16"/>
        <v>140.20000000000005</v>
      </c>
      <c r="K140" s="183"/>
      <c r="L140" s="184"/>
    </row>
    <row r="141" spans="1:12" s="113" customFormat="1" ht="18.75">
      <c r="A141" s="107" t="s">
        <v>96</v>
      </c>
      <c r="B141" s="161">
        <v>1505.2</v>
      </c>
      <c r="C141" s="108">
        <v>1760</v>
      </c>
      <c r="D141" s="109">
        <f>107.3+0.4+30.4+78.2+4.1+36.9+117.9+50.5+112.6+5.2+52.3+10.5+76.8-0.2+10.4+82.9+84+50.5+35.7+3.4+90.4+1.3+74.9+86.3+10.5+56.2+19.4+57.2+47.6</f>
        <v>1393.6000000000001</v>
      </c>
      <c r="E141" s="112">
        <f>D141/D107*100</f>
        <v>0.4155203530730348</v>
      </c>
      <c r="F141" s="99">
        <f t="shared" si="17"/>
        <v>92.58570289662504</v>
      </c>
      <c r="G141" s="99">
        <f t="shared" si="14"/>
        <v>79.18181818181819</v>
      </c>
      <c r="H141" s="100">
        <f t="shared" si="18"/>
        <v>111.59999999999991</v>
      </c>
      <c r="I141" s="100">
        <f t="shared" si="16"/>
        <v>366.39999999999986</v>
      </c>
      <c r="J141" s="164"/>
      <c r="K141" s="183"/>
      <c r="L141" s="184"/>
    </row>
    <row r="142" spans="1:12" s="114" customFormat="1" ht="18.75">
      <c r="A142" s="111" t="s">
        <v>43</v>
      </c>
      <c r="B142" s="103">
        <v>1218.6</v>
      </c>
      <c r="C142" s="104">
        <v>1437.4</v>
      </c>
      <c r="D142" s="105">
        <f>107.3+25.4+76+34+76.6+47.2+83.8+4.5+35.4+76.8-0.2+60.7+81+50.4+90.4+52.9+85+10.5+37.7+14.2+56.6+47.6</f>
        <v>1153.7999999999997</v>
      </c>
      <c r="E142" s="106">
        <f>D142/D141*100</f>
        <v>82.79276693455795</v>
      </c>
      <c r="F142" s="106">
        <f aca="true" t="shared" si="19" ref="F142:F151">D142/B142*100</f>
        <v>94.68242245199407</v>
      </c>
      <c r="G142" s="106">
        <f t="shared" si="14"/>
        <v>80.26993182134406</v>
      </c>
      <c r="H142" s="104">
        <f t="shared" si="18"/>
        <v>64.80000000000018</v>
      </c>
      <c r="I142" s="104">
        <f t="shared" si="16"/>
        <v>283.60000000000036</v>
      </c>
      <c r="J142" s="165"/>
      <c r="K142" s="183"/>
      <c r="L142" s="184"/>
    </row>
    <row r="143" spans="1:13" s="114" customFormat="1" ht="18.75">
      <c r="A143" s="102" t="s">
        <v>25</v>
      </c>
      <c r="B143" s="103">
        <v>31.3</v>
      </c>
      <c r="C143" s="104">
        <v>40</v>
      </c>
      <c r="D143" s="105">
        <f>0.4+4.9+0.7+4.7+3.3+0.4+0.7+0.6+0.1+0.1</f>
        <v>15.899999999999999</v>
      </c>
      <c r="E143" s="106">
        <f>D143/D141*100</f>
        <v>1.140929965556831</v>
      </c>
      <c r="F143" s="106">
        <f t="shared" si="19"/>
        <v>50.79872204472843</v>
      </c>
      <c r="G143" s="106">
        <f>D143/C143*100</f>
        <v>39.75</v>
      </c>
      <c r="H143" s="104">
        <f t="shared" si="18"/>
        <v>15.400000000000002</v>
      </c>
      <c r="I143" s="104">
        <f t="shared" si="16"/>
        <v>24.1</v>
      </c>
      <c r="J143" s="165"/>
      <c r="K143" s="183"/>
      <c r="L143" s="184"/>
      <c r="M143" s="154"/>
    </row>
    <row r="144" spans="1:12" s="113" customFormat="1" ht="33.75" customHeight="1">
      <c r="A144" s="117" t="s">
        <v>56</v>
      </c>
      <c r="B144" s="161">
        <f>90+7.5+527</f>
        <v>624.5</v>
      </c>
      <c r="C144" s="108">
        <f>90+534.5</f>
        <v>624.5</v>
      </c>
      <c r="D144" s="109">
        <f>7.5+527</f>
        <v>534.5</v>
      </c>
      <c r="E144" s="112">
        <f>D144/D107*100</f>
        <v>0.15936827548617757</v>
      </c>
      <c r="F144" s="99">
        <f t="shared" si="19"/>
        <v>85.58847077662129</v>
      </c>
      <c r="G144" s="99">
        <f t="shared" si="14"/>
        <v>85.58847077662129</v>
      </c>
      <c r="H144" s="100">
        <f t="shared" si="18"/>
        <v>90</v>
      </c>
      <c r="I144" s="100">
        <f t="shared" si="16"/>
        <v>90</v>
      </c>
      <c r="J144" s="164"/>
      <c r="K144" s="183"/>
      <c r="L144" s="184"/>
    </row>
    <row r="145" spans="1:12" s="113" customFormat="1" ht="18.75" hidden="1">
      <c r="A145" s="117" t="s">
        <v>92</v>
      </c>
      <c r="B145" s="159"/>
      <c r="C145" s="108"/>
      <c r="D145" s="109"/>
      <c r="E145" s="112">
        <f>D145/D107*100</f>
        <v>0</v>
      </c>
      <c r="F145" s="99" t="e">
        <f>D145/B145*100</f>
        <v>#DIV/0!</v>
      </c>
      <c r="G145" s="99" t="e">
        <f t="shared" si="14"/>
        <v>#DIV/0!</v>
      </c>
      <c r="H145" s="100">
        <f t="shared" si="18"/>
        <v>0</v>
      </c>
      <c r="I145" s="100">
        <f t="shared" si="16"/>
        <v>0</v>
      </c>
      <c r="J145" s="164"/>
      <c r="K145" s="183"/>
      <c r="L145" s="184"/>
    </row>
    <row r="146" spans="1:12" s="113" customFormat="1" ht="18.75">
      <c r="A146" s="117" t="s">
        <v>97</v>
      </c>
      <c r="B146" s="161">
        <v>63378.3</v>
      </c>
      <c r="C146" s="108">
        <f>56447.1-100+1500-3000+10865.4+0.1+56196.1</f>
        <v>121908.70000000001</v>
      </c>
      <c r="D146" s="109">
        <f>254.7+197.5+629.8+725.8+539.8+84+74.2+508.7+16.5+120.5+1481.6+832.6+99.5+375.2+120.4+395.9+31.6+377+15.9+619.7+572.8+566.7+1034+62.7+188.4+419+37.7+634.6+518.2+928.5+377.6+1251.3+39.1+1691.8+858.6+220.3+52.6+57.3+368.9+54.7+360.9+1446.9+190.3+188.4+3261.8+84.9+489.1+1646.6+90.1+306.1+2127.9+1140.2+2083.8+254.9+496.3+147.5+900+293.9+997.7+999.5+774.8+1559.9+3388.1+562.4+1176.7+5410.4+0.3+3488.2+35.9+11.8+575+2397.4+452.4+2254</f>
        <v>57029.80000000001</v>
      </c>
      <c r="E146" s="112">
        <f>D146/D107*100</f>
        <v>17.004192473941277</v>
      </c>
      <c r="F146" s="99">
        <f t="shared" si="19"/>
        <v>89.98316458472381</v>
      </c>
      <c r="G146" s="99">
        <f t="shared" si="14"/>
        <v>46.78074657510088</v>
      </c>
      <c r="H146" s="100">
        <f t="shared" si="18"/>
        <v>6348.499999999993</v>
      </c>
      <c r="I146" s="100">
        <f t="shared" si="16"/>
        <v>64878.9</v>
      </c>
      <c r="J146" s="164"/>
      <c r="K146" s="183"/>
      <c r="L146" s="184"/>
    </row>
    <row r="147" spans="1:12" s="113" customFormat="1" ht="18.75" hidden="1">
      <c r="A147" s="117" t="s">
        <v>86</v>
      </c>
      <c r="B147" s="159"/>
      <c r="C147" s="108"/>
      <c r="D147" s="109"/>
      <c r="E147" s="112">
        <f>D147/D107*100</f>
        <v>0</v>
      </c>
      <c r="F147" s="99" t="e">
        <f t="shared" si="19"/>
        <v>#DIV/0!</v>
      </c>
      <c r="G147" s="99" t="e">
        <f t="shared" si="14"/>
        <v>#DIV/0!</v>
      </c>
      <c r="H147" s="100">
        <f t="shared" si="18"/>
        <v>0</v>
      </c>
      <c r="I147" s="100">
        <f t="shared" si="16"/>
        <v>0</v>
      </c>
      <c r="J147" s="164"/>
      <c r="K147" s="183"/>
      <c r="L147" s="184"/>
    </row>
    <row r="148" spans="1:12" s="113" customFormat="1" ht="37.5" hidden="1">
      <c r="A148" s="117" t="s">
        <v>104</v>
      </c>
      <c r="B148" s="159"/>
      <c r="C148" s="108"/>
      <c r="D148" s="109"/>
      <c r="E148" s="112">
        <f>D148/D109*100</f>
        <v>0</v>
      </c>
      <c r="F148" s="99" t="e">
        <f>D148/B148*100</f>
        <v>#DIV/0!</v>
      </c>
      <c r="G148" s="99" t="e">
        <f>D148/C148*100</f>
        <v>#DIV/0!</v>
      </c>
      <c r="H148" s="100">
        <f>B148-D148</f>
        <v>0</v>
      </c>
      <c r="I148" s="100">
        <f>C148-D148</f>
        <v>0</v>
      </c>
      <c r="J148" s="164"/>
      <c r="K148" s="183"/>
      <c r="L148" s="184"/>
    </row>
    <row r="149" spans="1:12" s="113" customFormat="1" ht="18.75">
      <c r="A149" s="107" t="s">
        <v>98</v>
      </c>
      <c r="B149" s="161">
        <v>128.19706</v>
      </c>
      <c r="C149" s="108">
        <v>162.3</v>
      </c>
      <c r="D149" s="109">
        <f>46.4+43+38.8</f>
        <v>128.2</v>
      </c>
      <c r="E149" s="112">
        <f>D149/D107*100</f>
        <v>0.03822453305393446</v>
      </c>
      <c r="F149" s="99">
        <f t="shared" si="19"/>
        <v>100.00229334432473</v>
      </c>
      <c r="G149" s="99">
        <f t="shared" si="14"/>
        <v>78.98952556993221</v>
      </c>
      <c r="H149" s="100">
        <f t="shared" si="18"/>
        <v>-0.0029399999999952797</v>
      </c>
      <c r="I149" s="100">
        <f t="shared" si="16"/>
        <v>34.10000000000002</v>
      </c>
      <c r="J149" s="164"/>
      <c r="K149" s="183"/>
      <c r="L149" s="184"/>
    </row>
    <row r="150" spans="1:12" s="113" customFormat="1" ht="18" customHeight="1">
      <c r="A150" s="107" t="s">
        <v>77</v>
      </c>
      <c r="B150" s="161">
        <f>10277.3-1020</f>
        <v>9257.3</v>
      </c>
      <c r="C150" s="108">
        <f>10563.8+657.7</f>
        <v>11221.5</v>
      </c>
      <c r="D150" s="109">
        <f>791.9+575.3+777.6+830.9+722.1+47.7+657.7+821-47.6+744.9+750.8+1599.5</f>
        <v>8271.8</v>
      </c>
      <c r="E150" s="112">
        <f>D150/D107*100</f>
        <v>2.4663470555033933</v>
      </c>
      <c r="F150" s="99">
        <f t="shared" si="19"/>
        <v>89.35434737990559</v>
      </c>
      <c r="G150" s="99">
        <f t="shared" si="14"/>
        <v>73.71385287171947</v>
      </c>
      <c r="H150" s="100">
        <f t="shared" si="18"/>
        <v>985.5</v>
      </c>
      <c r="I150" s="100">
        <f t="shared" si="16"/>
        <v>2949.7000000000007</v>
      </c>
      <c r="J150" s="164"/>
      <c r="K150" s="183"/>
      <c r="L150" s="184"/>
    </row>
    <row r="151" spans="1:12" s="113" customFormat="1" ht="19.5" customHeight="1">
      <c r="A151" s="147" t="s">
        <v>50</v>
      </c>
      <c r="B151" s="163">
        <f>289360.2-1612.3-1000-1425.5</f>
        <v>285322.4</v>
      </c>
      <c r="C151" s="148">
        <v>322609.9</v>
      </c>
      <c r="D151" s="149">
        <f>27.8+914.6+10874.2+1188.7+864.1+301.6+376.8+206.4+1075.1+354+2650.4+1522.6+53.5+786.8+81.3+1054.7+490+234.6+36.9+5277.5+291.8+23.3+540.8+832.4+305.2+3134.5+592.9+878.5+3382.3+14.5+805.7+358+9432.9+124.1+4176+812.4+1191.2+449.1+2185.9+2145.9+1330.7+112.9+1987.5+3050.1+2547.9+307.1+3979.2+1508.3+10779.3+3507+12041.7+292.7+2460.1+1498.1+35.3+17.3+2541.9+4569.6+200.8+3996.1+59.4+398.6+4382.3+345.9+705.2+2627.2+629.5+925.5+30.6+650+253.5+4065.3+30.9+21.1+566.5+1528.5+1339.1+3285.1+971.6+216.8+1076.6+1992.4+70+79.1+1650.5+948.5+696.9+2465.9+1374.9+1596.8+131.6+737.5-0.2+940.1+105.1+1803.5+948.2+1174.2+1202.5+1193.2+8548.2+791.5+51.6+1522.7+3915.1+934.2+2112.2+1271.9+700+169.8+39.7+981+537+4749.9</f>
        <v>186357.30000000008</v>
      </c>
      <c r="E151" s="150">
        <f>D151/D107*100</f>
        <v>55.5649046309827</v>
      </c>
      <c r="F151" s="151">
        <f t="shared" si="19"/>
        <v>65.31464056099348</v>
      </c>
      <c r="G151" s="151">
        <f t="shared" si="14"/>
        <v>57.76552424460628</v>
      </c>
      <c r="H151" s="152">
        <f t="shared" si="18"/>
        <v>98965.09999999995</v>
      </c>
      <c r="I151" s="152">
        <f>C151-D151</f>
        <v>136252.59999999995</v>
      </c>
      <c r="K151" s="183"/>
      <c r="L151" s="184"/>
    </row>
    <row r="152" spans="1:12" s="113" customFormat="1" ht="18.75">
      <c r="A152" s="107" t="s">
        <v>99</v>
      </c>
      <c r="B152" s="161">
        <v>35193.4</v>
      </c>
      <c r="C152" s="108">
        <v>42232</v>
      </c>
      <c r="D152" s="109">
        <f>819+819+819.1+1062.3+1173.1+1173.1+1173.2+1173.1+1173.1+1173.2+1173.1+1173.1+1173.2+1173.1+1173.1+1173.1+1173.1+1173.1+1173.1+1173.1+1173.1+1173.1+1173.1+1173.1+1173.1+1173.1+1173.1+1173.1+1173.1</f>
        <v>32847.19999999998</v>
      </c>
      <c r="E152" s="112">
        <f>D152/D107*100</f>
        <v>9.793829033769073</v>
      </c>
      <c r="F152" s="99">
        <f t="shared" si="17"/>
        <v>93.33340910511625</v>
      </c>
      <c r="G152" s="99">
        <f t="shared" si="14"/>
        <v>77.77798825535135</v>
      </c>
      <c r="H152" s="100">
        <f t="shared" si="18"/>
        <v>2346.200000000019</v>
      </c>
      <c r="I152" s="100">
        <f t="shared" si="16"/>
        <v>9384.800000000017</v>
      </c>
      <c r="K152" s="183"/>
      <c r="L152" s="184"/>
    </row>
    <row r="153" spans="1:12" s="2" customFormat="1" ht="19.5" thickBot="1">
      <c r="A153" s="29" t="s">
        <v>29</v>
      </c>
      <c r="B153" s="162"/>
      <c r="C153" s="63"/>
      <c r="D153" s="44">
        <f>D43+D69+D72+D77+D79+D87+D102+D107+D100+D84+D98</f>
        <v>345643.2</v>
      </c>
      <c r="E153" s="15"/>
      <c r="F153" s="15"/>
      <c r="G153" s="6"/>
      <c r="H153" s="52"/>
      <c r="I153" s="44"/>
      <c r="K153" s="183"/>
      <c r="L153" s="185"/>
    </row>
    <row r="154" spans="1:12" ht="19.5" thickBot="1">
      <c r="A154" s="12" t="s">
        <v>18</v>
      </c>
      <c r="B154" s="40">
        <f>B6+B18+B33+B43+B51+B59+B69+B72+B77+B79+B87+B90+B95+B102+B107+B100+B84+B98+B45</f>
        <v>1765044.2550600003</v>
      </c>
      <c r="C154" s="40">
        <f>C6+C18+C33+C43+C51+C59+C69+C72+C77+C79+C87+C90+C95+C102+C107+C100+C84+C98+C45</f>
        <v>2206447.6999999997</v>
      </c>
      <c r="D154" s="40">
        <f>D6+D18+D33+D43+D51+D59+D69+D72+D77+D79+D87+D90+D95+D102+D107+D100+D84+D98+D45</f>
        <v>1495019.7000000002</v>
      </c>
      <c r="E154" s="28">
        <v>100</v>
      </c>
      <c r="F154" s="3">
        <f>D154/B154*100</f>
        <v>84.70154194231118</v>
      </c>
      <c r="G154" s="3">
        <f aca="true" t="shared" si="20" ref="G154:G160">D154/C154*100</f>
        <v>67.75686094893616</v>
      </c>
      <c r="H154" s="40">
        <f aca="true" t="shared" si="21" ref="H154:H160">B154-D154</f>
        <v>270024.55506000016</v>
      </c>
      <c r="I154" s="40">
        <f aca="true" t="shared" si="22" ref="I154:I160">C154-D154</f>
        <v>711427.9999999995</v>
      </c>
      <c r="K154" s="186"/>
      <c r="L154" s="187"/>
    </row>
    <row r="155" spans="1:12" ht="18.75">
      <c r="A155" s="16" t="s">
        <v>5</v>
      </c>
      <c r="B155" s="51">
        <f>B8+B20+B34+B52+B60+B91+B115+B120+B46+B142+B133+B103</f>
        <v>756433.4999999999</v>
      </c>
      <c r="C155" s="51">
        <f>C8+C20+C34+C52+C60+C91+C115+C120+C46+C142+C133+C103</f>
        <v>897180</v>
      </c>
      <c r="D155" s="51">
        <f>D8+D20+D34+D52+D60+D91+D115+D120+D46+D142+D133+D103</f>
        <v>690018.9100000004</v>
      </c>
      <c r="E155" s="6">
        <f>D155/D154*100</f>
        <v>46.15450284701936</v>
      </c>
      <c r="F155" s="6">
        <f aca="true" t="shared" si="23" ref="F155:F160">D155/B155*100</f>
        <v>91.22003586567762</v>
      </c>
      <c r="G155" s="6">
        <f t="shared" si="20"/>
        <v>76.90975166633233</v>
      </c>
      <c r="H155" s="52">
        <f t="shared" si="21"/>
        <v>66414.5899999995</v>
      </c>
      <c r="I155" s="62">
        <f t="shared" si="22"/>
        <v>207161.08999999962</v>
      </c>
      <c r="K155" s="183"/>
      <c r="L155" s="187"/>
    </row>
    <row r="156" spans="1:12" ht="18.75">
      <c r="A156" s="16" t="s">
        <v>0</v>
      </c>
      <c r="B156" s="52">
        <f>B11+B23+B36+B55+B62+B92+B49+B143+B109+B112+B96+B140+B129</f>
        <v>79121.5</v>
      </c>
      <c r="C156" s="52">
        <f>C11+C23+C36+C55+C62+C92+C49+C143+C109+C112+C96+C140+C129</f>
        <v>110563.99999999999</v>
      </c>
      <c r="D156" s="52">
        <f>D11+D23+D36+D55+D62+D92+D49+D143+D109+D112+D96+D140+D129</f>
        <v>67873.79999999999</v>
      </c>
      <c r="E156" s="6">
        <f>D156/D154*100</f>
        <v>4.539993687039708</v>
      </c>
      <c r="F156" s="6">
        <f t="shared" si="23"/>
        <v>85.78426849844858</v>
      </c>
      <c r="G156" s="6">
        <f t="shared" si="20"/>
        <v>61.38869794869939</v>
      </c>
      <c r="H156" s="52">
        <f>B156-D156</f>
        <v>11247.700000000012</v>
      </c>
      <c r="I156" s="62">
        <f t="shared" si="22"/>
        <v>42690.2</v>
      </c>
      <c r="K156" s="153"/>
      <c r="L156" s="69"/>
    </row>
    <row r="157" spans="1:12" ht="18.75">
      <c r="A157" s="16" t="s">
        <v>1</v>
      </c>
      <c r="B157" s="51">
        <f>B22+B10+B54+B48+B61+B35+B124</f>
        <v>33666.299999999996</v>
      </c>
      <c r="C157" s="51">
        <f>C22+C10+C54+C48+C61+C35+C124</f>
        <v>42113.5</v>
      </c>
      <c r="D157" s="51">
        <f>D22+D10+D54+D48+D61+D35+D124</f>
        <v>25611.699999999997</v>
      </c>
      <c r="E157" s="6">
        <f>D157/D154*100</f>
        <v>1.713134616219438</v>
      </c>
      <c r="F157" s="6">
        <f t="shared" si="23"/>
        <v>76.07518497726214</v>
      </c>
      <c r="G157" s="6">
        <f t="shared" si="20"/>
        <v>60.81589039144216</v>
      </c>
      <c r="H157" s="52">
        <f t="shared" si="21"/>
        <v>8054.5999999999985</v>
      </c>
      <c r="I157" s="62">
        <f t="shared" si="22"/>
        <v>16501.800000000003</v>
      </c>
      <c r="K157" s="153"/>
      <c r="L157" s="33"/>
    </row>
    <row r="158" spans="1:12" ht="21" customHeight="1">
      <c r="A158" s="16" t="s">
        <v>14</v>
      </c>
      <c r="B158" s="51">
        <f>B12+B24+B104+B63+B38+B93+B131+B56+B138+B118</f>
        <v>26432.899999999994</v>
      </c>
      <c r="C158" s="51">
        <f>C12+C24+C104+C63+C38+C93+C131+C56+C138+C118</f>
        <v>30298.8</v>
      </c>
      <c r="D158" s="51">
        <f>D12+D24+D104+D63+D38+D93+D131+D56+D138+D118</f>
        <v>21771.300000000007</v>
      </c>
      <c r="E158" s="6">
        <f>D158/D154*100</f>
        <v>1.456255058043717</v>
      </c>
      <c r="F158" s="6">
        <f t="shared" si="23"/>
        <v>82.36440193849336</v>
      </c>
      <c r="G158" s="6">
        <f t="shared" si="20"/>
        <v>71.855321002812</v>
      </c>
      <c r="H158" s="52">
        <f>B158-D158</f>
        <v>4661.599999999988</v>
      </c>
      <c r="I158" s="62">
        <f t="shared" si="22"/>
        <v>8527.499999999993</v>
      </c>
      <c r="K158" s="153"/>
      <c r="L158" s="69"/>
    </row>
    <row r="159" spans="1:12" ht="18.75">
      <c r="A159" s="16" t="s">
        <v>2</v>
      </c>
      <c r="B159" s="51">
        <f>B9+B21+B47+B53+B123</f>
        <v>109.2</v>
      </c>
      <c r="C159" s="51">
        <f>C9+C21+C47+C53+C123</f>
        <v>114.48435</v>
      </c>
      <c r="D159" s="51">
        <f>D9+D21+D47+D53+D123</f>
        <v>30</v>
      </c>
      <c r="E159" s="6">
        <f>D159/D154*100</f>
        <v>0.002006662520901898</v>
      </c>
      <c r="F159" s="6">
        <f t="shared" si="23"/>
        <v>27.47252747252747</v>
      </c>
      <c r="G159" s="6">
        <f t="shared" si="20"/>
        <v>26.204455019397848</v>
      </c>
      <c r="H159" s="52">
        <f t="shared" si="21"/>
        <v>79.2</v>
      </c>
      <c r="I159" s="62">
        <f t="shared" si="22"/>
        <v>84.48435</v>
      </c>
      <c r="K159" s="153"/>
      <c r="L159" s="33"/>
    </row>
    <row r="160" spans="1:12" ht="19.5" thickBot="1">
      <c r="A160" s="88" t="s">
        <v>27</v>
      </c>
      <c r="B160" s="64">
        <f>B154-B155-B156-B157-B158-B159</f>
        <v>869280.8550600004</v>
      </c>
      <c r="C160" s="64">
        <f>C154-C155-C156-C157-C158-C159</f>
        <v>1126176.9156499996</v>
      </c>
      <c r="D160" s="64">
        <f>D154-D155-D156-D157-D158-D159</f>
        <v>689713.9899999998</v>
      </c>
      <c r="E160" s="31">
        <f>D160/D154*100</f>
        <v>46.134107129156874</v>
      </c>
      <c r="F160" s="31">
        <f t="shared" si="23"/>
        <v>79.34305535262175</v>
      </c>
      <c r="G160" s="31">
        <f t="shared" si="20"/>
        <v>61.2438401476126</v>
      </c>
      <c r="H160" s="89">
        <f t="shared" si="21"/>
        <v>179566.86506000068</v>
      </c>
      <c r="I160" s="89">
        <f t="shared" si="22"/>
        <v>436462.9256499999</v>
      </c>
      <c r="K160" s="153"/>
      <c r="L160" s="69"/>
    </row>
    <row r="161" spans="7:8" ht="12.75">
      <c r="G161" s="18"/>
      <c r="H161" s="18"/>
    </row>
    <row r="162" spans="3:11" ht="12.75">
      <c r="C162" s="153"/>
      <c r="G162" s="18"/>
      <c r="H162" s="18"/>
      <c r="I162" s="18"/>
      <c r="K162" s="95"/>
    </row>
    <row r="163" spans="7:11" ht="12.75">
      <c r="G163" s="18"/>
      <c r="H163" s="18"/>
      <c r="K163" s="95"/>
    </row>
    <row r="164" spans="7:11" ht="12.75">
      <c r="G164" s="18"/>
      <c r="H164" s="18"/>
      <c r="K164" s="95"/>
    </row>
    <row r="165" spans="2:8" ht="12.75">
      <c r="B165" s="92"/>
      <c r="C165" s="92"/>
      <c r="D165" s="153"/>
      <c r="G165" s="18"/>
      <c r="H165" s="18"/>
    </row>
    <row r="166" spans="2:8" ht="12.75">
      <c r="B166" s="155"/>
      <c r="C166" s="156"/>
      <c r="G166" s="18"/>
      <c r="H166" s="18"/>
    </row>
    <row r="167" spans="2:8" ht="12.75">
      <c r="B167" s="92"/>
      <c r="C167" s="92"/>
      <c r="D167" s="92"/>
      <c r="G167" s="18"/>
      <c r="H167" s="18"/>
    </row>
    <row r="168" spans="2:8" ht="12.75">
      <c r="B168" s="92"/>
      <c r="G168" s="18"/>
      <c r="H168" s="18"/>
    </row>
    <row r="169" spans="2:8" ht="12.75">
      <c r="B169" s="92"/>
      <c r="C169" s="153"/>
      <c r="G169" s="18"/>
      <c r="H169" s="18"/>
    </row>
    <row r="170" spans="7:8" ht="12.75">
      <c r="G170" s="18"/>
      <c r="H170" s="18"/>
    </row>
    <row r="171" spans="7:8" ht="12.75">
      <c r="G171" s="18"/>
      <c r="H171" s="18"/>
    </row>
    <row r="172" spans="7:8" ht="12.75">
      <c r="G172" s="18"/>
      <c r="H172" s="18"/>
    </row>
    <row r="173" spans="7:8" ht="12.75">
      <c r="G173" s="18"/>
      <c r="H173" s="18"/>
    </row>
    <row r="174" spans="7:8" ht="12.75">
      <c r="G174" s="18"/>
      <c r="H174" s="18"/>
    </row>
    <row r="175" spans="3:8" ht="12.75">
      <c r="C175" s="153"/>
      <c r="G175" s="18"/>
      <c r="H175" s="18"/>
    </row>
    <row r="176" spans="7:8" ht="12.75">
      <c r="G176" s="18"/>
      <c r="H176" s="18"/>
    </row>
    <row r="177" spans="7:8" ht="12.75">
      <c r="G177" s="18"/>
      <c r="H177" s="18"/>
    </row>
    <row r="178" spans="7:8" ht="12.75">
      <c r="G178" s="18"/>
      <c r="H178" s="18"/>
    </row>
    <row r="179" spans="7:8" ht="12.75">
      <c r="G179" s="18"/>
      <c r="H179" s="18"/>
    </row>
    <row r="180" spans="7:8" ht="12.75">
      <c r="G180" s="18"/>
      <c r="H180" s="18"/>
    </row>
    <row r="181" spans="7:8" ht="12.75">
      <c r="G181" s="18"/>
      <c r="H181" s="18"/>
    </row>
    <row r="182" spans="7:8" ht="12.75">
      <c r="G182" s="18"/>
      <c r="H182" s="18"/>
    </row>
    <row r="183" spans="7:8" ht="12.75">
      <c r="G183" s="18"/>
      <c r="H183" s="18"/>
    </row>
    <row r="184" spans="7:8" ht="12.75">
      <c r="G184" s="18"/>
      <c r="H184" s="18"/>
    </row>
    <row r="185" spans="7:8" ht="12.75">
      <c r="G185" s="18"/>
      <c r="H185" s="18"/>
    </row>
    <row r="186" spans="7:8" ht="12.75">
      <c r="G186" s="18"/>
      <c r="H186" s="18"/>
    </row>
    <row r="187" spans="7:8" ht="12.75">
      <c r="G187" s="18"/>
      <c r="H187" s="18"/>
    </row>
    <row r="188" spans="7:8" ht="12.75">
      <c r="G188" s="18"/>
      <c r="H188" s="18"/>
    </row>
    <row r="189" spans="7:8" ht="12.75">
      <c r="G189" s="18"/>
      <c r="H189" s="18"/>
    </row>
    <row r="190" spans="7:8" ht="12.75">
      <c r="G190" s="18"/>
      <c r="H190" s="18"/>
    </row>
    <row r="191" spans="7:8" ht="12.75">
      <c r="G191" s="18"/>
      <c r="H191" s="18"/>
    </row>
    <row r="192" spans="7:8" ht="12.75">
      <c r="G192" s="18"/>
      <c r="H192" s="18"/>
    </row>
    <row r="193" spans="7:8" ht="12.75">
      <c r="G193" s="18"/>
      <c r="H193" s="18"/>
    </row>
    <row r="194" spans="7:8" ht="12.75">
      <c r="G194" s="18"/>
      <c r="H194" s="18"/>
    </row>
    <row r="195" spans="7:8" ht="12.75">
      <c r="G195" s="18"/>
      <c r="H195" s="18"/>
    </row>
    <row r="196" spans="7:8" ht="12.75">
      <c r="G196" s="18"/>
      <c r="H196" s="18"/>
    </row>
    <row r="197" spans="7:8" ht="12.75">
      <c r="G197" s="18"/>
      <c r="H197" s="18"/>
    </row>
    <row r="198" spans="7:8" ht="12.75">
      <c r="G198" s="18"/>
      <c r="H198" s="18"/>
    </row>
    <row r="199" spans="7:8" ht="12.75">
      <c r="G199" s="18"/>
      <c r="H199" s="18"/>
    </row>
    <row r="200" spans="7:8" ht="12.75">
      <c r="G200" s="18"/>
      <c r="H200" s="18"/>
    </row>
    <row r="201" spans="7:8" ht="12.75">
      <c r="G201" s="18"/>
      <c r="H201" s="18"/>
    </row>
    <row r="202" spans="7:8" ht="12.75">
      <c r="G202" s="18"/>
      <c r="H202" s="18"/>
    </row>
    <row r="203" spans="7:8" ht="12.75">
      <c r="G203" s="18"/>
      <c r="H203" s="18"/>
    </row>
    <row r="204" spans="7:8" ht="12.75">
      <c r="G204" s="18"/>
      <c r="H204" s="18"/>
    </row>
    <row r="205" spans="7:8" ht="12.75">
      <c r="G205" s="18"/>
      <c r="H205" s="18"/>
    </row>
    <row r="206" spans="7:8" ht="12.75">
      <c r="G206" s="18"/>
      <c r="H206" s="18"/>
    </row>
    <row r="207" spans="7:8" ht="12.75">
      <c r="G207" s="18"/>
      <c r="H207" s="18"/>
    </row>
    <row r="208" spans="7:8" ht="12.75">
      <c r="G208" s="18"/>
      <c r="H208" s="18"/>
    </row>
    <row r="209" spans="7:8" ht="12.75">
      <c r="G209" s="18"/>
      <c r="H209" s="18"/>
    </row>
    <row r="210" spans="7:8" ht="12.75">
      <c r="G210" s="18"/>
      <c r="H210" s="18"/>
    </row>
    <row r="211" spans="7:8" ht="12.75">
      <c r="G211" s="18"/>
      <c r="H211" s="18"/>
    </row>
    <row r="212" spans="7:8" ht="12.75">
      <c r="G212" s="18"/>
      <c r="H212" s="18"/>
    </row>
    <row r="213" spans="7:8" ht="12.75">
      <c r="G213" s="18"/>
      <c r="H213" s="18"/>
    </row>
    <row r="214" spans="7:8" ht="12.75">
      <c r="G214" s="18"/>
      <c r="H214" s="18"/>
    </row>
    <row r="215" spans="7:8" ht="12.75">
      <c r="G215" s="18"/>
      <c r="H215" s="18"/>
    </row>
    <row r="216" spans="7:8" ht="12.75">
      <c r="G216" s="18"/>
      <c r="H216" s="18"/>
    </row>
    <row r="217" spans="7:8" ht="12.75">
      <c r="G217" s="18"/>
      <c r="H217" s="18"/>
    </row>
    <row r="218" spans="7:8" ht="12.75">
      <c r="G218" s="18"/>
      <c r="H218" s="18"/>
    </row>
    <row r="219" spans="7:8" ht="12.75">
      <c r="G219" s="18"/>
      <c r="H219" s="18"/>
    </row>
    <row r="220" spans="7:8" ht="12.75">
      <c r="G220" s="18"/>
      <c r="H220" s="18"/>
    </row>
    <row r="221" spans="7:8" ht="12.75">
      <c r="G221" s="18"/>
      <c r="H221" s="18"/>
    </row>
    <row r="222" spans="7:8" ht="12.75">
      <c r="G222" s="18"/>
      <c r="H222" s="18"/>
    </row>
    <row r="223" spans="7:8" ht="12.75">
      <c r="G223" s="18"/>
      <c r="H223" s="18"/>
    </row>
    <row r="224" spans="7:8" ht="12.75">
      <c r="G224" s="18"/>
      <c r="H224" s="18"/>
    </row>
    <row r="225" spans="7:8" ht="12.75">
      <c r="G225" s="18"/>
      <c r="H225" s="18"/>
    </row>
    <row r="226" spans="7:8" ht="12.75">
      <c r="G226" s="18"/>
      <c r="H226" s="18"/>
    </row>
    <row r="227" spans="7:8" ht="12.75">
      <c r="G227" s="18"/>
      <c r="H227" s="18"/>
    </row>
    <row r="228" spans="7:8" ht="12.75">
      <c r="G228" s="18"/>
      <c r="H228" s="18"/>
    </row>
    <row r="229" spans="7:8" ht="12.75">
      <c r="G229" s="18"/>
      <c r="H229" s="18"/>
    </row>
    <row r="230" spans="7:8" ht="12.75">
      <c r="G230" s="18"/>
      <c r="H230" s="18"/>
    </row>
    <row r="231" spans="7:8" ht="12.75">
      <c r="G231" s="18"/>
      <c r="H231" s="18"/>
    </row>
    <row r="232" spans="7:8" ht="12.75">
      <c r="G232" s="18"/>
      <c r="H232" s="18"/>
    </row>
    <row r="233" spans="7:8" ht="12.75">
      <c r="G233" s="18"/>
      <c r="H233" s="18"/>
    </row>
    <row r="234" spans="7:8" ht="12.75">
      <c r="G234" s="18"/>
      <c r="H234" s="18"/>
    </row>
    <row r="235" spans="7:8" ht="12.75">
      <c r="G235" s="18"/>
      <c r="H235" s="18"/>
    </row>
    <row r="236" spans="7:8" ht="12.75">
      <c r="G236" s="18"/>
      <c r="H236" s="18"/>
    </row>
    <row r="237" spans="7:8" ht="12.75">
      <c r="G237" s="18"/>
      <c r="H237" s="18"/>
    </row>
    <row r="238" spans="7:8" ht="12.75">
      <c r="G238" s="18"/>
      <c r="H238" s="18"/>
    </row>
    <row r="239" spans="7:8" ht="12.75">
      <c r="G239" s="18"/>
      <c r="H239" s="18"/>
    </row>
    <row r="240" spans="7:8" ht="12.75">
      <c r="G240" s="18"/>
      <c r="H240" s="18"/>
    </row>
    <row r="241" spans="7:8" ht="12.75">
      <c r="G241" s="18"/>
      <c r="H241" s="18"/>
    </row>
    <row r="242" spans="7:8" ht="12.75">
      <c r="G242" s="18"/>
      <c r="H242" s="18"/>
    </row>
    <row r="243" spans="7:8" ht="12.75">
      <c r="G243" s="18"/>
      <c r="H243" s="18"/>
    </row>
    <row r="244" spans="7:8" ht="12.75">
      <c r="G244" s="18"/>
      <c r="H244" s="18"/>
    </row>
    <row r="245" spans="7:8" ht="12.75">
      <c r="G245" s="18"/>
      <c r="H245" s="18"/>
    </row>
    <row r="246" spans="7:8" ht="12.75">
      <c r="G246" s="18"/>
      <c r="H246" s="18"/>
    </row>
    <row r="247" spans="7:8" ht="12.75">
      <c r="G247" s="18"/>
      <c r="H247" s="18"/>
    </row>
    <row r="248" spans="7:8" ht="12.75">
      <c r="G248" s="18"/>
      <c r="H248" s="18"/>
    </row>
    <row r="249" spans="7:8" ht="12.75">
      <c r="G249" s="18"/>
      <c r="H249" s="18"/>
    </row>
    <row r="250" spans="7:8" ht="12.75">
      <c r="G250" s="18"/>
      <c r="H250" s="18"/>
    </row>
    <row r="251" spans="7:8" ht="12.75">
      <c r="G251" s="18"/>
      <c r="H251" s="18"/>
    </row>
    <row r="252" spans="7:8" ht="12.75">
      <c r="G252" s="18"/>
      <c r="H252" s="18"/>
    </row>
    <row r="253" spans="7:8" ht="12.75">
      <c r="G253" s="18"/>
      <c r="H253" s="18"/>
    </row>
    <row r="254" spans="7:8" ht="12.75">
      <c r="G254" s="18"/>
      <c r="H254" s="18"/>
    </row>
    <row r="255" spans="7:8" ht="12.75">
      <c r="G255" s="18"/>
      <c r="H255" s="18"/>
    </row>
    <row r="256" spans="7:8" ht="12.75">
      <c r="G256" s="18"/>
      <c r="H256" s="18"/>
    </row>
    <row r="257" spans="7:8" ht="12.75">
      <c r="G257" s="18"/>
      <c r="H257" s="18"/>
    </row>
    <row r="258" spans="7:8" ht="12.75">
      <c r="G258" s="18"/>
      <c r="H258" s="18"/>
    </row>
    <row r="259" spans="7:8" ht="12.75">
      <c r="G259" s="18"/>
      <c r="H259" s="18"/>
    </row>
    <row r="260" spans="7:8" ht="12.75">
      <c r="G260" s="18"/>
      <c r="H260" s="18"/>
    </row>
    <row r="261" spans="7:8" ht="12.75">
      <c r="G261" s="18"/>
      <c r="H261" s="18"/>
    </row>
    <row r="262" spans="7:8" ht="12.75">
      <c r="G262" s="18"/>
      <c r="H262" s="18"/>
    </row>
    <row r="263" spans="7:8" ht="12.75">
      <c r="G263" s="18"/>
      <c r="H263" s="18"/>
    </row>
    <row r="264" spans="7:8" ht="12.75">
      <c r="G264" s="18"/>
      <c r="H264" s="18"/>
    </row>
    <row r="265" spans="7:8" ht="12.75">
      <c r="G265" s="18"/>
      <c r="H265" s="18"/>
    </row>
    <row r="266" spans="7:8" ht="12.75">
      <c r="G266" s="18"/>
      <c r="H266" s="18"/>
    </row>
    <row r="267" spans="7:8" ht="12.75">
      <c r="G267" s="18"/>
      <c r="H267" s="18"/>
    </row>
    <row r="268" spans="7:8" ht="12.75">
      <c r="G268" s="18"/>
      <c r="H268" s="18"/>
    </row>
    <row r="269" spans="7:8" ht="12.75">
      <c r="G269" s="18"/>
      <c r="H269" s="18"/>
    </row>
    <row r="270" spans="7:8" ht="12.75">
      <c r="G270" s="18"/>
      <c r="H270" s="18"/>
    </row>
    <row r="271" spans="7:8" ht="12.75">
      <c r="G271" s="18"/>
      <c r="H271" s="18"/>
    </row>
    <row r="272" spans="7:8" ht="12.75">
      <c r="G272" s="18"/>
      <c r="H272" s="18"/>
    </row>
    <row r="273" spans="7:8" ht="12.75">
      <c r="G273" s="18"/>
      <c r="H273" s="18"/>
    </row>
    <row r="274" spans="7:8" ht="12.75">
      <c r="G274" s="18"/>
      <c r="H274" s="18"/>
    </row>
    <row r="275" spans="7:8" ht="12.75">
      <c r="G275" s="18"/>
      <c r="H275" s="18"/>
    </row>
    <row r="276" spans="7:8" ht="12.75">
      <c r="G276" s="18"/>
      <c r="H276" s="18"/>
    </row>
    <row r="277" spans="7:8" ht="12.75">
      <c r="G277" s="18"/>
      <c r="H277" s="18"/>
    </row>
    <row r="278" spans="7:8" ht="12.75">
      <c r="G278" s="18"/>
      <c r="H278" s="18"/>
    </row>
    <row r="279" spans="7:8" ht="12.75">
      <c r="G279" s="18"/>
      <c r="H279" s="18"/>
    </row>
    <row r="280" spans="7:8" ht="12.75">
      <c r="G280" s="18"/>
      <c r="H280" s="18"/>
    </row>
    <row r="281" spans="7:8" ht="12.75">
      <c r="G281" s="18"/>
      <c r="H281" s="18"/>
    </row>
    <row r="282" spans="7:8" ht="12.75">
      <c r="G282" s="18"/>
      <c r="H282" s="18"/>
    </row>
    <row r="283" spans="7:8" ht="12.75">
      <c r="G283" s="18"/>
      <c r="H283" s="18"/>
    </row>
    <row r="284" spans="7:8" ht="12.75">
      <c r="G284" s="18"/>
      <c r="H284" s="18"/>
    </row>
    <row r="285" spans="7:8" ht="12.75">
      <c r="G285" s="18"/>
      <c r="H285" s="18"/>
    </row>
    <row r="286" spans="7:8" ht="12.75">
      <c r="G286" s="18"/>
      <c r="H286" s="18"/>
    </row>
    <row r="287" spans="7:8" ht="12.75">
      <c r="G287" s="18"/>
      <c r="H287" s="18"/>
    </row>
    <row r="288" spans="7:8" ht="12.75">
      <c r="G288" s="18"/>
      <c r="H288" s="18"/>
    </row>
    <row r="289" spans="7:8" ht="12.75">
      <c r="G289" s="18"/>
      <c r="H289" s="18"/>
    </row>
    <row r="290" spans="7:8" ht="12.75">
      <c r="G290" s="18"/>
      <c r="H290" s="18"/>
    </row>
    <row r="291" spans="7:8" ht="12.75">
      <c r="G291" s="18"/>
      <c r="H291" s="18"/>
    </row>
    <row r="292" spans="7:8" ht="12.75">
      <c r="G292" s="18"/>
      <c r="H292" s="18"/>
    </row>
    <row r="293" spans="7:8" ht="12.75">
      <c r="G293" s="18"/>
      <c r="H293" s="18"/>
    </row>
    <row r="294" spans="7:8" ht="12.75">
      <c r="G294" s="18"/>
      <c r="H294" s="18"/>
    </row>
    <row r="295" spans="7:8" ht="12.75">
      <c r="G295" s="18"/>
      <c r="H295" s="18"/>
    </row>
    <row r="296" spans="7:8" ht="12.75">
      <c r="G296" s="18"/>
      <c r="H296" s="18"/>
    </row>
    <row r="297" spans="7:8" ht="12.75">
      <c r="G297" s="18"/>
      <c r="H297" s="18"/>
    </row>
    <row r="298" spans="7:8" ht="12.75">
      <c r="G298" s="18"/>
      <c r="H298" s="18"/>
    </row>
    <row r="299" spans="7:8" ht="12.75">
      <c r="G299" s="18"/>
      <c r="H299" s="18"/>
    </row>
    <row r="300" spans="7:8" ht="12.75">
      <c r="G300" s="18"/>
      <c r="H300" s="18"/>
    </row>
    <row r="301" spans="7:8" ht="12.75">
      <c r="G301" s="18"/>
      <c r="H301" s="18"/>
    </row>
    <row r="302" spans="7:8" ht="12.75">
      <c r="G302" s="18"/>
      <c r="H302" s="18"/>
    </row>
    <row r="303" spans="7:8" ht="12.75">
      <c r="G303" s="18"/>
      <c r="H303" s="18"/>
    </row>
    <row r="304" spans="7:8" ht="12.75">
      <c r="G304" s="18"/>
      <c r="H304" s="18"/>
    </row>
    <row r="305" spans="7:8" ht="12.75">
      <c r="G305" s="18"/>
      <c r="H305" s="18"/>
    </row>
    <row r="306" spans="7:8" ht="12.75">
      <c r="G306" s="18"/>
      <c r="H306" s="18"/>
    </row>
    <row r="307" spans="7:8" ht="12.75">
      <c r="G307" s="18"/>
      <c r="H307" s="18"/>
    </row>
    <row r="308" spans="7:8" ht="12.75">
      <c r="G308" s="18"/>
      <c r="H308" s="18"/>
    </row>
    <row r="309" spans="7:8" ht="12.75">
      <c r="G309" s="18"/>
      <c r="H309" s="18"/>
    </row>
    <row r="310" spans="7:8" ht="12.75">
      <c r="G310" s="18"/>
      <c r="H310" s="18"/>
    </row>
    <row r="311" spans="7:8" ht="12.75">
      <c r="G311" s="18"/>
      <c r="H311" s="18"/>
    </row>
    <row r="312" spans="7:8" ht="12.75">
      <c r="G312" s="18"/>
      <c r="H312" s="18"/>
    </row>
    <row r="313" spans="7:8" ht="12.75">
      <c r="G313" s="18"/>
      <c r="H313" s="18"/>
    </row>
    <row r="314" spans="7:8" ht="12.75">
      <c r="G314" s="18"/>
      <c r="H314" s="18"/>
    </row>
    <row r="315" spans="7:8" ht="12.75">
      <c r="G315" s="18"/>
      <c r="H315" s="18"/>
    </row>
    <row r="316" spans="7:8" ht="12.75">
      <c r="G316" s="18"/>
      <c r="H316" s="18"/>
    </row>
    <row r="317" spans="7:8" ht="12.75">
      <c r="G317" s="18"/>
      <c r="H317" s="18"/>
    </row>
    <row r="318" spans="7:8" ht="12.75">
      <c r="G318" s="18"/>
      <c r="H318" s="18"/>
    </row>
    <row r="319" spans="7:8" ht="12.75">
      <c r="G319" s="18"/>
      <c r="H319" s="18"/>
    </row>
    <row r="320" spans="7:8" ht="12.75">
      <c r="G320" s="18"/>
      <c r="H320" s="18"/>
    </row>
    <row r="321" spans="7:8" ht="12.75">
      <c r="G321" s="18"/>
      <c r="H321" s="18"/>
    </row>
    <row r="322" spans="7:8" ht="12.75">
      <c r="G322" s="18"/>
      <c r="H322" s="18"/>
    </row>
    <row r="323" spans="7:8" ht="12.75">
      <c r="G323" s="18"/>
      <c r="H323" s="18"/>
    </row>
    <row r="324" spans="7:8" ht="12.75">
      <c r="G324" s="18"/>
      <c r="H324" s="18"/>
    </row>
    <row r="325" spans="7:8" ht="12.75">
      <c r="G325" s="18"/>
      <c r="H325" s="18"/>
    </row>
    <row r="326" spans="7:8" ht="12.75">
      <c r="G326" s="18"/>
      <c r="H326" s="18"/>
    </row>
    <row r="327" spans="7:8" ht="12.75">
      <c r="G327" s="18"/>
      <c r="H327" s="18"/>
    </row>
    <row r="328" spans="7:8" ht="12.75">
      <c r="G328" s="18"/>
      <c r="H328" s="18"/>
    </row>
    <row r="329" spans="7:8" ht="12.75">
      <c r="G329" s="18"/>
      <c r="H329" s="18"/>
    </row>
    <row r="330" spans="7:8" ht="12.75">
      <c r="G330" s="18"/>
      <c r="H330" s="18"/>
    </row>
    <row r="331" spans="7:8" ht="12.75">
      <c r="G331" s="18"/>
      <c r="H331" s="18"/>
    </row>
    <row r="332" spans="7:8" ht="12.75">
      <c r="G332" s="18"/>
      <c r="H332" s="18"/>
    </row>
    <row r="333" spans="7:8" ht="12.75">
      <c r="G333" s="18"/>
      <c r="H333" s="18"/>
    </row>
    <row r="334" spans="7:8" ht="12.75">
      <c r="G334" s="18"/>
      <c r="H334" s="18"/>
    </row>
    <row r="335" spans="7:8" ht="12.75">
      <c r="G335" s="18"/>
      <c r="H335" s="18"/>
    </row>
    <row r="336" spans="7:8" ht="12.75">
      <c r="G336" s="18"/>
      <c r="H336" s="18"/>
    </row>
    <row r="337" spans="7:8" ht="12.75">
      <c r="G337" s="18"/>
      <c r="H337" s="18"/>
    </row>
    <row r="338" spans="7:8" ht="12.75">
      <c r="G338" s="18"/>
      <c r="H338" s="18"/>
    </row>
    <row r="339" spans="7:8" ht="12.75">
      <c r="G339" s="18"/>
      <c r="H339" s="18"/>
    </row>
    <row r="340" spans="7:8" ht="12.75">
      <c r="G340" s="18"/>
      <c r="H340" s="18"/>
    </row>
    <row r="341" spans="7:8" ht="12.75">
      <c r="G341" s="18"/>
      <c r="H341" s="18"/>
    </row>
    <row r="342" spans="7:8" ht="12.75">
      <c r="G342" s="18"/>
      <c r="H342" s="18"/>
    </row>
    <row r="343" spans="7:8" ht="12.75">
      <c r="G343" s="18"/>
      <c r="H343" s="18"/>
    </row>
    <row r="344" spans="7:8" ht="12.75">
      <c r="G344" s="18"/>
      <c r="H344" s="18"/>
    </row>
    <row r="345" spans="7:8" ht="12.75">
      <c r="G345" s="18"/>
      <c r="H345" s="18"/>
    </row>
    <row r="346" spans="7:8" ht="12.75">
      <c r="G346" s="18"/>
      <c r="H346" s="18"/>
    </row>
    <row r="347" spans="7:8" ht="12.75">
      <c r="G347" s="18"/>
      <c r="H347" s="18"/>
    </row>
    <row r="348" spans="7:8" ht="12.75">
      <c r="G348" s="18"/>
      <c r="H348" s="18"/>
    </row>
    <row r="349" spans="7:8" ht="12.75">
      <c r="G349" s="18"/>
      <c r="H349" s="18"/>
    </row>
    <row r="350" spans="7:8" ht="12.75">
      <c r="G350" s="18"/>
      <c r="H350" s="18"/>
    </row>
    <row r="351" spans="7:8" ht="12.75">
      <c r="G351" s="18"/>
      <c r="H351" s="18"/>
    </row>
    <row r="352" spans="7:8" ht="12.75">
      <c r="G352" s="18"/>
      <c r="H352" s="18"/>
    </row>
    <row r="353" spans="7:8" ht="12.75">
      <c r="G353" s="18"/>
      <c r="H353" s="18"/>
    </row>
    <row r="354" spans="7:8" ht="12.75">
      <c r="G354" s="18"/>
      <c r="H354" s="18"/>
    </row>
    <row r="355" spans="7:8" ht="12.75">
      <c r="G355" s="18"/>
      <c r="H355" s="18"/>
    </row>
    <row r="356" spans="7:8" ht="12.75">
      <c r="G356" s="18"/>
      <c r="H356" s="18"/>
    </row>
    <row r="357" spans="7:8" ht="12.75">
      <c r="G357" s="18"/>
      <c r="H357" s="18"/>
    </row>
    <row r="358" spans="7:8" ht="12.75">
      <c r="G358" s="18"/>
      <c r="H358" s="18"/>
    </row>
    <row r="359" spans="7:8" ht="12.75">
      <c r="G359" s="18"/>
      <c r="H359" s="18"/>
    </row>
    <row r="360" spans="7:8" ht="12.75">
      <c r="G360" s="18"/>
      <c r="H360" s="18"/>
    </row>
    <row r="361" spans="7:8" ht="12.75">
      <c r="G361" s="18"/>
      <c r="H361" s="18"/>
    </row>
    <row r="362" spans="7:8" ht="12.75">
      <c r="G362" s="18"/>
      <c r="H362" s="18"/>
    </row>
    <row r="363" spans="7:8" ht="12.75">
      <c r="G363" s="18"/>
      <c r="H363" s="18"/>
    </row>
    <row r="364" spans="7:8" ht="12.75">
      <c r="G364" s="18"/>
      <c r="H364" s="18"/>
    </row>
    <row r="365" spans="7:8" ht="12.75">
      <c r="G365" s="18"/>
      <c r="H365" s="18"/>
    </row>
    <row r="366" spans="7:8" ht="12.75">
      <c r="G366" s="18"/>
      <c r="H366" s="18"/>
    </row>
    <row r="367" spans="7:8" ht="12.75">
      <c r="G367" s="18"/>
      <c r="H367" s="18"/>
    </row>
    <row r="368" spans="7:8" ht="12.75">
      <c r="G368" s="18"/>
      <c r="H368" s="18"/>
    </row>
    <row r="369" spans="7:8" ht="12.75">
      <c r="G369" s="18"/>
      <c r="H369" s="18"/>
    </row>
    <row r="370" spans="7:8" ht="12.75">
      <c r="G370" s="18"/>
      <c r="H370" s="18"/>
    </row>
    <row r="371" spans="7:8" ht="12.75">
      <c r="G371" s="18"/>
      <c r="H371" s="18"/>
    </row>
    <row r="372" spans="7:8" ht="12.75">
      <c r="G372" s="18"/>
      <c r="H372" s="18"/>
    </row>
    <row r="373" spans="7:8" ht="12.75">
      <c r="G373" s="18"/>
      <c r="H373" s="18"/>
    </row>
    <row r="374" spans="7:8" ht="12.75">
      <c r="G374" s="18"/>
      <c r="H374" s="18"/>
    </row>
    <row r="375" spans="7:8" ht="12.75">
      <c r="G375" s="18"/>
      <c r="H375" s="18"/>
    </row>
    <row r="376" spans="7:8" ht="12.75">
      <c r="G376" s="18"/>
      <c r="H376" s="18"/>
    </row>
    <row r="377" spans="7:8" ht="12.75">
      <c r="G377" s="18"/>
      <c r="H377" s="18"/>
    </row>
    <row r="378" spans="7:8" ht="12.75">
      <c r="G378" s="18"/>
      <c r="H378" s="18"/>
    </row>
    <row r="379" spans="7:8" ht="12.75">
      <c r="G379" s="18"/>
      <c r="H379" s="18"/>
    </row>
    <row r="380" spans="7:8" ht="12.75">
      <c r="G380" s="18"/>
      <c r="H380" s="18"/>
    </row>
    <row r="381" spans="7:8" ht="12.75">
      <c r="G381" s="18"/>
      <c r="H381" s="18"/>
    </row>
    <row r="382" spans="7:8" ht="12.75">
      <c r="G382" s="18"/>
      <c r="H382" s="18"/>
    </row>
    <row r="383" spans="7:8" ht="12.75">
      <c r="G383" s="18"/>
      <c r="H383" s="18"/>
    </row>
    <row r="384" spans="7:8" ht="12.75">
      <c r="G384" s="18"/>
      <c r="H384" s="18"/>
    </row>
    <row r="385" spans="7:8" ht="12.75">
      <c r="G385" s="18"/>
      <c r="H385" s="18"/>
    </row>
    <row r="386" spans="7:8" ht="12.75">
      <c r="G386" s="18"/>
      <c r="H386" s="18"/>
    </row>
    <row r="387" spans="7:8" ht="12.75">
      <c r="G387" s="18"/>
      <c r="H387" s="18"/>
    </row>
    <row r="388" spans="7:8" ht="12.75">
      <c r="G388" s="18"/>
      <c r="H388" s="18"/>
    </row>
    <row r="389" spans="7:8" ht="12.75">
      <c r="G389" s="18"/>
      <c r="H389" s="18"/>
    </row>
    <row r="390" spans="7:8" ht="12.75">
      <c r="G390" s="18"/>
      <c r="H390" s="18"/>
    </row>
    <row r="391" spans="7:8" ht="12.75">
      <c r="G391" s="18"/>
      <c r="H391" s="18"/>
    </row>
    <row r="392" spans="7:8" ht="12.75">
      <c r="G392" s="18"/>
      <c r="H392" s="18"/>
    </row>
    <row r="393" spans="7:8" ht="12.75">
      <c r="G393" s="18"/>
      <c r="H393" s="18"/>
    </row>
    <row r="394" spans="7:8" ht="12.75">
      <c r="G394" s="18"/>
      <c r="H394" s="18"/>
    </row>
    <row r="395" spans="7:8" ht="12.75">
      <c r="G395" s="18"/>
      <c r="H395" s="18"/>
    </row>
    <row r="396" spans="7:8" ht="12.75">
      <c r="G396" s="18"/>
      <c r="H396" s="18"/>
    </row>
    <row r="397" spans="7:8" ht="12.75">
      <c r="G397" s="18"/>
      <c r="H397" s="18"/>
    </row>
    <row r="398" spans="7:8" ht="12.75">
      <c r="G398" s="18"/>
      <c r="H398" s="18"/>
    </row>
    <row r="399" spans="7:8" ht="12.75">
      <c r="G399" s="18"/>
      <c r="H399" s="18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1" operator="lessThan" stopIfTrue="1">
      <formula>0</formula>
    </cfRule>
  </conditionalFormatting>
  <conditionalFormatting sqref="H6:I160">
    <cfRule type="cellIs" priority="3" dxfId="2" operator="lessThan" stopIfTrue="1">
      <formula>0</formula>
    </cfRule>
  </conditionalFormatting>
  <printOptions/>
  <pageMargins left="0.5511811023622047" right="0.15748031496062992" top="0.1968503937007874" bottom="0.1968503937007874" header="0.15748031496062992" footer="0.1968503937007874"/>
  <pageSetup horizontalDpi="600" verticalDpi="600" orientation="landscape" paperSize="9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S23" sqref="S23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32</v>
      </c>
      <c r="B1" s="4"/>
      <c r="C1" s="4"/>
      <c r="D1" s="4" t="s">
        <v>30</v>
      </c>
      <c r="E1" s="5">
        <f>'аналіз фінансування'!C154</f>
        <v>2206447.6999999997</v>
      </c>
    </row>
    <row r="2" spans="1:5" ht="15.75">
      <c r="A2" s="4"/>
      <c r="B2" s="4"/>
      <c r="C2" s="4"/>
      <c r="D2" s="4" t="s">
        <v>31</v>
      </c>
      <c r="E2" s="5">
        <f>'аналіз фінансування'!D154</f>
        <v>1495019.7000000002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16" sqref="R16"/>
    </sheetView>
  </sheetViews>
  <sheetFormatPr defaultColWidth="9.00390625" defaultRowHeight="12.75"/>
  <cols>
    <col min="5" max="5" width="13.375" style="0" customWidth="1"/>
  </cols>
  <sheetData>
    <row r="1" spans="1:5" ht="15.75">
      <c r="A1" s="4" t="s">
        <v>32</v>
      </c>
      <c r="B1" s="4"/>
      <c r="C1" s="4"/>
      <c r="D1" s="4" t="s">
        <v>30</v>
      </c>
      <c r="E1" s="5">
        <f>'аналіз фінансування'!C154</f>
        <v>2206447.6999999997</v>
      </c>
    </row>
    <row r="2" spans="1:5" ht="15.75">
      <c r="A2" s="4"/>
      <c r="B2" s="4"/>
      <c r="C2" s="4"/>
      <c r="D2" s="4" t="s">
        <v>31</v>
      </c>
      <c r="E2" s="5">
        <f>'аналіз фінансування'!D154</f>
        <v>1495019.7000000002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</cp:lastModifiedBy>
  <cp:lastPrinted>2018-10-05T09:12:23Z</cp:lastPrinted>
  <dcterms:created xsi:type="dcterms:W3CDTF">2000-06-20T04:48:00Z</dcterms:created>
  <dcterms:modified xsi:type="dcterms:W3CDTF">2018-10-11T05:13:47Z</dcterms:modified>
  <cp:category/>
  <cp:version/>
  <cp:contentType/>
  <cp:contentStatus/>
</cp:coreProperties>
</file>